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250" windowHeight="11430" activeTab="2"/>
  </bookViews>
  <sheets>
    <sheet name="2015" sheetId="1" r:id="rId1"/>
    <sheet name="2016" sheetId="2" r:id="rId2"/>
    <sheet name="2017" sheetId="3" r:id="rId3"/>
    <sheet name="НПn2015" sheetId="4" r:id="rId4"/>
    <sheet name="НПn2016" sheetId="5" r:id="rId5"/>
    <sheet name="НПn2017" sheetId="6" r:id="rId6"/>
    <sheet name="ПНД" sheetId="7" r:id="rId7"/>
    <sheet name="q1q2" sheetId="8" r:id="rId8"/>
    <sheet name="а1 а2 а3" sheetId="9" r:id="rId9"/>
  </sheets>
  <definedNames>
    <definedName name="_xlnm.Print_Area" localSheetId="0">'2015'!$A$1:$AN$19</definedName>
  </definedNames>
  <calcPr fullCalcOnLoad="1"/>
</workbook>
</file>

<file path=xl/sharedStrings.xml><?xml version="1.0" encoding="utf-8"?>
<sst xmlns="http://schemas.openxmlformats.org/spreadsheetml/2006/main" count="375" uniqueCount="148">
  <si>
    <t>Сельские поселения</t>
  </si>
  <si>
    <t>Горноправдинск</t>
  </si>
  <si>
    <t>Селиярово</t>
  </si>
  <si>
    <t>Шапша</t>
  </si>
  <si>
    <t>Цингалы</t>
  </si>
  <si>
    <t>Нялино</t>
  </si>
  <si>
    <t>Сибирский</t>
  </si>
  <si>
    <t>Луговое</t>
  </si>
  <si>
    <t>Красноленинский</t>
  </si>
  <si>
    <t>Выкатное</t>
  </si>
  <si>
    <t>Кедровый</t>
  </si>
  <si>
    <t>Кышик</t>
  </si>
  <si>
    <t>Согом</t>
  </si>
  <si>
    <t>ИТОГО по району</t>
  </si>
  <si>
    <t>НПn</t>
  </si>
  <si>
    <t>Луговской</t>
  </si>
  <si>
    <r>
      <t xml:space="preserve">Численность населения, проживающего в населенных пунктах с числ.населения не более 500 чел.      </t>
    </r>
    <r>
      <rPr>
        <b/>
        <sz val="10"/>
        <rFont val="Times New Roman"/>
        <family val="1"/>
      </rPr>
      <t>Hn500 (H500</t>
    </r>
    <r>
      <rPr>
        <sz val="10"/>
        <rFont val="Times New Roman"/>
        <family val="1"/>
      </rPr>
      <t>)</t>
    </r>
  </si>
  <si>
    <r>
      <t xml:space="preserve">Коэф-т дисперсности </t>
    </r>
    <r>
      <rPr>
        <b/>
        <sz val="10"/>
        <rFont val="Times New Roman"/>
        <family val="1"/>
      </rPr>
      <t>Kn дисп</t>
    </r>
  </si>
  <si>
    <r>
      <t xml:space="preserve">Коэффициент дифференциации расходов на содержание жилого фонда в поселении      </t>
    </r>
    <r>
      <rPr>
        <b/>
        <sz val="10"/>
        <rFont val="Times New Roman"/>
        <family val="1"/>
      </rPr>
      <t>Kn жф</t>
    </r>
  </si>
  <si>
    <r>
      <t xml:space="preserve">Средняя  численность  постоянного  населения  поселений, входящих  в состав территории муниципального района     </t>
    </r>
    <r>
      <rPr>
        <b/>
        <sz val="10"/>
        <rFont val="Times New Roman"/>
        <family val="1"/>
      </rPr>
      <t>Нср</t>
    </r>
  </si>
  <si>
    <r>
      <t xml:space="preserve">Весовой коэффициент, устанавливае-мый уполномочен-ным органом местного самоуправления                                   </t>
    </r>
    <r>
      <rPr>
        <b/>
        <sz val="10"/>
        <rFont val="Times New Roman"/>
        <family val="1"/>
      </rPr>
      <t>С</t>
    </r>
  </si>
  <si>
    <r>
      <t xml:space="preserve">Коэф-т масштаба поселения      </t>
    </r>
    <r>
      <rPr>
        <b/>
        <sz val="10"/>
        <rFont val="Times New Roman"/>
        <family val="1"/>
      </rPr>
      <t>Кnм</t>
    </r>
  </si>
  <si>
    <r>
      <t xml:space="preserve">Доля расходов  на муниципальное управление и организацию оказания услуг в области культуры           </t>
    </r>
    <r>
      <rPr>
        <b/>
        <sz val="10"/>
        <rFont val="Times New Roman"/>
        <family val="1"/>
      </rPr>
      <t>a1</t>
    </r>
  </si>
  <si>
    <r>
      <t xml:space="preserve">Доля расходов на содержание муниципального жилого фонда   </t>
    </r>
    <r>
      <rPr>
        <b/>
        <sz val="10"/>
        <rFont val="Times New Roman"/>
        <family val="1"/>
      </rPr>
      <t>a2</t>
    </r>
  </si>
  <si>
    <r>
      <t xml:space="preserve">Доля других видов расходов  </t>
    </r>
    <r>
      <rPr>
        <b/>
        <sz val="10"/>
        <rFont val="Times New Roman"/>
        <family val="1"/>
      </rPr>
      <t>a3</t>
    </r>
  </si>
  <si>
    <r>
      <t xml:space="preserve">Экономически обоснованные тарифы  на водоснабжение и водоотведение                              </t>
    </r>
    <r>
      <rPr>
        <b/>
        <sz val="10"/>
        <rFont val="Times New Roman"/>
        <family val="1"/>
      </rPr>
      <t>Тn вод (Твод)</t>
    </r>
  </si>
  <si>
    <r>
      <t xml:space="preserve">Экономически обоснованные тарифы на электроэнергию   </t>
    </r>
    <r>
      <rPr>
        <b/>
        <sz val="10"/>
        <rFont val="Times New Roman"/>
        <family val="1"/>
      </rPr>
      <t>Тn эл (Тэл)</t>
    </r>
  </si>
  <si>
    <r>
      <t xml:space="preserve">Экономически обоснованные тарифы на теплоснабжение          </t>
    </r>
    <r>
      <rPr>
        <b/>
        <sz val="10"/>
        <rFont val="Times New Roman"/>
        <family val="1"/>
      </rPr>
      <t>Тn тепл (Ттепл)</t>
    </r>
  </si>
  <si>
    <r>
      <t xml:space="preserve">Коэф-т стоимости предоставления коммунальных услуг              </t>
    </r>
    <r>
      <rPr>
        <b/>
        <sz val="10"/>
        <rFont val="Times New Roman"/>
        <family val="1"/>
      </rPr>
      <t>Kn ку</t>
    </r>
  </si>
  <si>
    <r>
      <t xml:space="preserve">Удельный вес сельского населения поселения  </t>
    </r>
    <r>
      <rPr>
        <b/>
        <sz val="10"/>
        <rFont val="Times New Roman"/>
        <family val="1"/>
      </rPr>
      <t>УВСНn (УВСН)</t>
    </r>
  </si>
  <si>
    <r>
      <t xml:space="preserve">Коэффициент заработной платы в поселении        </t>
    </r>
    <r>
      <rPr>
        <b/>
        <sz val="10"/>
        <rFont val="Times New Roman"/>
        <family val="1"/>
      </rPr>
      <t>Kn  зп</t>
    </r>
  </si>
  <si>
    <r>
      <t xml:space="preserve">Расчетный удельный вес расходов на оплату труда и начисления на выплаты по оплате труда в среднем по бюджетам всех поселений     </t>
    </r>
    <r>
      <rPr>
        <b/>
        <sz val="10"/>
        <rFont val="Times New Roman"/>
        <family val="1"/>
      </rPr>
      <t>q1</t>
    </r>
  </si>
  <si>
    <r>
      <t xml:space="preserve">Расчетный удельный вес расходов на коммунальные услуги в среднем по бюджетам всех поселений          </t>
    </r>
    <r>
      <rPr>
        <b/>
        <sz val="10"/>
        <rFont val="Times New Roman"/>
        <family val="1"/>
      </rPr>
      <t>q2</t>
    </r>
  </si>
  <si>
    <r>
      <t xml:space="preserve">Коэффициент стоимости предоставления муниципальных услуг в поселении           </t>
    </r>
    <r>
      <rPr>
        <b/>
        <sz val="10"/>
        <rFont val="Times New Roman"/>
        <family val="1"/>
      </rPr>
      <t>Kn стоим</t>
    </r>
  </si>
  <si>
    <r>
      <t xml:space="preserve">Коэффициент структуры потребителей муниципальных услуг поселения     </t>
    </r>
    <r>
      <rPr>
        <b/>
        <sz val="10"/>
        <rFont val="Times New Roman"/>
        <family val="1"/>
      </rPr>
      <t>Kn стр</t>
    </r>
  </si>
  <si>
    <t>(Кn стоим*Kn стр*Hn)</t>
  </si>
  <si>
    <t>ПДj           НДФЛ</t>
  </si>
  <si>
    <t>НОРМj                  НДФЛ</t>
  </si>
  <si>
    <t>БНnj                    НДФЛ</t>
  </si>
  <si>
    <t>НПnj                         НДФЛ</t>
  </si>
  <si>
    <t>НОРМj                  Налог на имущество физических лиц</t>
  </si>
  <si>
    <t>БНnj                    Налог на имущество физических лиц</t>
  </si>
  <si>
    <t>НПnj                         Налог на имущество физических лиц</t>
  </si>
  <si>
    <t>ПДj                       Налог на имущество физических лиц</t>
  </si>
  <si>
    <t>ПДj                       Земельный налог</t>
  </si>
  <si>
    <t>НОРМj                  Земельный налог</t>
  </si>
  <si>
    <t>БНnj                    Земельный налог</t>
  </si>
  <si>
    <t>НПnj                         Земельный налог</t>
  </si>
  <si>
    <r>
      <t xml:space="preserve">Налоговый потенциал поселения     </t>
    </r>
    <r>
      <rPr>
        <b/>
        <sz val="10"/>
        <rFont val="Times New Roman"/>
        <family val="1"/>
      </rPr>
      <t>НПn (НП)</t>
    </r>
  </si>
  <si>
    <r>
      <rPr>
        <sz val="10"/>
        <rFont val="Times New Roman"/>
        <family val="1"/>
      </rPr>
      <t xml:space="preserve">Индекс налогового потенциала поселения </t>
    </r>
    <r>
      <rPr>
        <b/>
        <sz val="10"/>
        <rFont val="Times New Roman"/>
        <family val="1"/>
      </rPr>
      <t xml:space="preserve"> ИНПn</t>
    </r>
  </si>
  <si>
    <r>
      <t xml:space="preserve">Часть районного фонда финансовой поддержки поселений, сформированная за счет собственных средств бюджета района, включая субсидию на формирование районных фондов финансовой поддержки поселений                </t>
    </r>
    <r>
      <rPr>
        <b/>
        <sz val="10"/>
        <rFont val="Times New Roman"/>
        <family val="1"/>
      </rPr>
      <t>Д2</t>
    </r>
  </si>
  <si>
    <r>
      <rPr>
        <sz val="10"/>
        <rFont val="Times New Roman"/>
        <family val="1"/>
      </rPr>
      <t xml:space="preserve">Индекс бюджетных расходов поселения  </t>
    </r>
    <r>
      <rPr>
        <b/>
        <sz val="10"/>
        <rFont val="Times New Roman"/>
        <family val="1"/>
      </rPr>
      <t>ИБРn</t>
    </r>
  </si>
  <si>
    <r>
      <t xml:space="preserve">Уровень расчетной бюджетной обеспеченности поселения </t>
    </r>
    <r>
      <rPr>
        <b/>
        <sz val="10"/>
        <rFont val="Times New Roman"/>
        <family val="1"/>
      </rPr>
      <t>БОn</t>
    </r>
  </si>
  <si>
    <r>
      <rPr>
        <sz val="10"/>
        <rFont val="Times New Roman"/>
        <family val="1"/>
      </rPr>
      <t xml:space="preserve">Прогноз налоговых доходов бюджетов поселений </t>
    </r>
    <r>
      <rPr>
        <b/>
        <sz val="10"/>
        <rFont val="Times New Roman"/>
        <family val="1"/>
      </rPr>
      <t>ПНД</t>
    </r>
  </si>
  <si>
    <r>
      <t xml:space="preserve">Уровень расчетной бюджетной обеспеченности, установленный в качестве критерия выравнивания расчетной бюджетной обеспеченности поселений                </t>
    </r>
    <r>
      <rPr>
        <b/>
        <sz val="10"/>
        <rFont val="Times New Roman"/>
        <family val="1"/>
      </rPr>
      <t>БО кр</t>
    </r>
  </si>
  <si>
    <r>
      <t xml:space="preserve">Объём средств, необходимых для доведения уровня расчетной бюджетной обеспеченности поселения до уровня, установленного в качестве критерия выравнивания расчетной бюджетной обеспеченности поселений                    </t>
    </r>
    <r>
      <rPr>
        <b/>
        <sz val="10"/>
        <rFont val="Times New Roman"/>
        <family val="1"/>
      </rPr>
      <t>Tn</t>
    </r>
  </si>
  <si>
    <r>
      <rPr>
        <sz val="10"/>
        <rFont val="Times New Roman"/>
        <family val="1"/>
      </rPr>
      <t xml:space="preserve">Размер второй части дотации на выравнивание бюджетной обеспеченности                               </t>
    </r>
    <r>
      <rPr>
        <b/>
        <sz val="10"/>
        <rFont val="Times New Roman"/>
        <family val="1"/>
      </rPr>
      <t>Д2n</t>
    </r>
  </si>
  <si>
    <r>
      <t xml:space="preserve">Размер субвенции бюджету муниципального района из бюджета автономного округа на предоставление дотаций на выравнивание бюджетной обеспеченности поселений за счет средств бюджета автономного округа  </t>
    </r>
    <r>
      <rPr>
        <b/>
        <sz val="10"/>
        <rFont val="Times New Roman"/>
        <family val="1"/>
      </rPr>
      <t>Субв</t>
    </r>
  </si>
  <si>
    <r>
      <t xml:space="preserve">Размер первой части дотации на выравнивание бюджетной обеспеченности поселений                        </t>
    </r>
    <r>
      <rPr>
        <b/>
        <sz val="10"/>
        <rFont val="Times New Roman"/>
        <family val="1"/>
      </rPr>
      <t>Д1n</t>
    </r>
  </si>
  <si>
    <r>
      <t xml:space="preserve">Размер дотации на выравнивание бюджетной обеспеченности поселению                             </t>
    </r>
    <r>
      <rPr>
        <b/>
        <sz val="10"/>
        <rFont val="Times New Roman"/>
        <family val="1"/>
      </rPr>
      <t>Дn</t>
    </r>
  </si>
  <si>
    <r>
      <t xml:space="preserve">Площадь жилого фонда поселения </t>
    </r>
    <r>
      <rPr>
        <b/>
        <sz val="10"/>
        <rFont val="Times New Roman"/>
        <family val="1"/>
      </rPr>
      <t>Пnжф (Пжф)</t>
    </r>
  </si>
  <si>
    <t>Налог на доходы физических лиц (по нормативу 10%)</t>
  </si>
  <si>
    <t>Налог на имущество физических лиц</t>
  </si>
  <si>
    <t>Земельный налог</t>
  </si>
  <si>
    <t>Сельское поселение Горноправдинск</t>
  </si>
  <si>
    <t>Сельское поселение Селиярово</t>
  </si>
  <si>
    <t>Сельское поселение Шапша</t>
  </si>
  <si>
    <t xml:space="preserve">Сельское поселение Кышик </t>
  </si>
  <si>
    <t>Сельское поселение Нялинское</t>
  </si>
  <si>
    <t>Сельское поселение Красноленинский</t>
  </si>
  <si>
    <t>Сельское поселение Кедровый</t>
  </si>
  <si>
    <t>Сельское поселение Луговской</t>
  </si>
  <si>
    <t>Сельское поселение Цингалы</t>
  </si>
  <si>
    <t>Сельское поселение Сибирский</t>
  </si>
  <si>
    <t>Сельское поселение Выкатной</t>
  </si>
  <si>
    <t>Сельское поселение Согом</t>
  </si>
  <si>
    <t>ИТОГО</t>
  </si>
  <si>
    <t>ИТОГО по  налогам</t>
  </si>
  <si>
    <t>тыс. руб.</t>
  </si>
  <si>
    <t>Наименование</t>
  </si>
  <si>
    <t>Статья</t>
  </si>
  <si>
    <t>Выкатной</t>
  </si>
  <si>
    <t>Нялинское</t>
  </si>
  <si>
    <t>Итого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</si>
  <si>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</si>
  <si>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</si>
  <si>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</si>
  <si>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</si>
  <si>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</si>
  <si>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</si>
  <si>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</si>
  <si>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</si>
  <si>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</si>
  <si>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241</t>
  </si>
  <si>
    <t>242</t>
  </si>
  <si>
    <t>251</t>
  </si>
  <si>
    <t>262</t>
  </si>
  <si>
    <t>263</t>
  </si>
  <si>
    <t>290</t>
  </si>
  <si>
    <t>310</t>
  </si>
  <si>
    <t>340</t>
  </si>
  <si>
    <t>ВСЕГО</t>
  </si>
  <si>
    <t>211+213</t>
  </si>
  <si>
    <t>q1</t>
  </si>
  <si>
    <t>q2</t>
  </si>
  <si>
    <t>РАЗДЕЛ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</si>
  <si>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</si>
  <si>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</si>
  <si>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</si>
  <si>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</si>
  <si>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</si>
  <si>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</si>
  <si>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</si>
  <si>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</si>
  <si>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</si>
  <si>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</si>
  <si>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0100+0800</t>
  </si>
  <si>
    <t>а1</t>
  </si>
  <si>
    <t>а2</t>
  </si>
  <si>
    <t>Фактическое исполнение расходов на муниципальное управление и организацию оказания услуг в области культуры</t>
  </si>
  <si>
    <t>Фактическое исполнение расходов на содержание муниципального жилого фонда</t>
  </si>
  <si>
    <t>Фактическое исполнение других видов расходов</t>
  </si>
  <si>
    <t>а3</t>
  </si>
  <si>
    <t>Расчет налогового потенциала поселений на 2015 год</t>
  </si>
  <si>
    <t>на 2015 год</t>
  </si>
  <si>
    <t>Расчет распределения дотации на 2015 год</t>
  </si>
  <si>
    <t>3500200</t>
  </si>
  <si>
    <t>3500300</t>
  </si>
  <si>
    <t>РАЗДЕЛ 0501</t>
  </si>
  <si>
    <t>Расчет распределения дотации на 2016 год</t>
  </si>
  <si>
    <t>на 2016 год</t>
  </si>
  <si>
    <t>Расчет налогового потенциала поселений на 2016 год</t>
  </si>
  <si>
    <t>справочно</t>
  </si>
  <si>
    <t>в том числе</t>
  </si>
  <si>
    <t>0200</t>
  </si>
  <si>
    <t>Председатель комитета по финансам:                                                                 Т.Ю. Горелик</t>
  </si>
  <si>
    <t>Председатель комитета по финансам                                                                 Т.Ю Горелик</t>
  </si>
  <si>
    <t xml:space="preserve">Фактическое исполнению бюджета по сельским поселениям района за 2013 год по разделам бюджетной классификации </t>
  </si>
  <si>
    <t>Фактическое исполнение бюджета по сельским поселения района за 2013 год по экономическим статьям</t>
  </si>
  <si>
    <t>Расчет распределения дотации на 2017 год</t>
  </si>
  <si>
    <r>
      <t xml:space="preserve">Численность постоянного населения  на 01.01.2014 г.                                      </t>
    </r>
    <r>
      <rPr>
        <b/>
        <sz val="10"/>
        <rFont val="Times New Roman"/>
        <family val="1"/>
      </rPr>
      <t>Hn (H)</t>
    </r>
  </si>
  <si>
    <r>
      <t xml:space="preserve">Численность сельского населения на 01.01.2014 г.               </t>
    </r>
    <r>
      <rPr>
        <b/>
        <sz val="10"/>
        <rFont val="Times New Roman"/>
        <family val="1"/>
      </rPr>
      <t>Hn (H)</t>
    </r>
  </si>
  <si>
    <r>
      <t xml:space="preserve">Численность постоянного населения  на 01.01.2014 г.  </t>
    </r>
    <r>
      <rPr>
        <b/>
        <sz val="10"/>
        <rFont val="Times New Roman"/>
        <family val="1"/>
      </rPr>
      <t>Hn (H)</t>
    </r>
  </si>
  <si>
    <r>
      <t xml:space="preserve">Численность сельского населения на 01.01.2014 г.  </t>
    </r>
    <r>
      <rPr>
        <b/>
        <sz val="10"/>
        <rFont val="Times New Roman"/>
        <family val="1"/>
      </rPr>
      <t>Hn (H)</t>
    </r>
  </si>
  <si>
    <t>Прогноз налоговых доходов бюджетов поселений (ПНД) на 2015-2017 годы</t>
  </si>
  <si>
    <t>на 2017 год</t>
  </si>
  <si>
    <t>Расчет налогового потенциала поселений на 2017 год</t>
  </si>
  <si>
    <r>
      <t xml:space="preserve">Весовой коэффициент, устанавливаемый уполномочен-ным органом местного самоуправления                                   </t>
    </r>
    <r>
      <rPr>
        <b/>
        <sz val="10"/>
        <rFont val="Times New Roman"/>
        <family val="1"/>
      </rPr>
      <t>С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</si>
</sst>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_р_._-;\-* #,##0_р_._-;_-* &quot;-&quot;??_р_._-;_-@_-"/>
    <numFmt numFmtId="167" formatCode="_-* #,##0.0_р_._-;\-* #,##0.0_р_._-;_-* &quot;-&quot;?_р_._-;_-@_-"/>
    <numFmt numFmtId="168" formatCode="_-* #,##0.000_р_._-;\-* #,##0.000_р_._-;_-* &quot;-&quot;???_р_._-;_-@_-"/>
    <numFmt numFmtId="169" formatCode="0.0%"/>
    <numFmt numFmtId="170" formatCode="#,##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b/>
      <sz val="14"/>
      <color theme="1"/>
      <name val="Calibri"/>
      <family val="2"/>
    </font>
    <font>
      <b/>
      <sz val="14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7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164" fontId="68" fillId="0" borderId="0" xfId="0" applyNumberFormat="1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Alignment="1">
      <alignment vertical="center" wrapText="1"/>
    </xf>
    <xf numFmtId="2" fontId="73" fillId="0" borderId="0" xfId="0" applyNumberFormat="1" applyFont="1" applyAlignment="1">
      <alignment horizontal="center" vertical="center" wrapText="1"/>
    </xf>
    <xf numFmtId="2" fontId="74" fillId="0" borderId="0" xfId="0" applyNumberFormat="1" applyFont="1" applyAlignment="1">
      <alignment vertical="center" wrapText="1"/>
    </xf>
    <xf numFmtId="2" fontId="75" fillId="0" borderId="0" xfId="0" applyNumberFormat="1" applyFont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5" fontId="4" fillId="0" borderId="10" xfId="63" applyNumberFormat="1" applyFont="1" applyFill="1" applyBorder="1" applyAlignment="1">
      <alignment vertical="center" wrapText="1"/>
    </xf>
    <xf numFmtId="165" fontId="4" fillId="33" borderId="10" xfId="63" applyNumberFormat="1" applyFont="1" applyFill="1" applyBorder="1" applyAlignment="1">
      <alignment vertical="center" wrapText="1"/>
    </xf>
    <xf numFmtId="164" fontId="4" fillId="33" borderId="10" xfId="63" applyNumberFormat="1" applyFont="1" applyFill="1" applyBorder="1" applyAlignment="1">
      <alignment vertical="center" wrapText="1"/>
    </xf>
    <xf numFmtId="165" fontId="5" fillId="0" borderId="10" xfId="63" applyNumberFormat="1" applyFont="1" applyFill="1" applyBorder="1" applyAlignment="1">
      <alignment vertical="center" wrapText="1"/>
    </xf>
    <xf numFmtId="165" fontId="5" fillId="33" borderId="10" xfId="63" applyNumberFormat="1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5" fontId="4" fillId="35" borderId="10" xfId="63" applyNumberFormat="1" applyFont="1" applyFill="1" applyBorder="1" applyAlignment="1">
      <alignment vertical="center" wrapText="1"/>
    </xf>
    <xf numFmtId="165" fontId="5" fillId="35" borderId="10" xfId="63" applyNumberFormat="1" applyFont="1" applyFill="1" applyBorder="1" applyAlignment="1">
      <alignment vertical="center" wrapText="1"/>
    </xf>
    <xf numFmtId="165" fontId="6" fillId="35" borderId="10" xfId="0" applyNumberFormat="1" applyFont="1" applyFill="1" applyBorder="1" applyAlignment="1">
      <alignment horizontal="center" vertical="center" wrapText="1"/>
    </xf>
    <xf numFmtId="165" fontId="6" fillId="36" borderId="10" xfId="0" applyNumberFormat="1" applyFont="1" applyFill="1" applyBorder="1" applyAlignment="1">
      <alignment horizontal="center" vertical="center" wrapText="1"/>
    </xf>
    <xf numFmtId="165" fontId="76" fillId="33" borderId="10" xfId="63" applyNumberFormat="1" applyFont="1" applyFill="1" applyBorder="1" applyAlignment="1">
      <alignment vertical="center" wrapText="1"/>
    </xf>
    <xf numFmtId="165" fontId="4" fillId="34" borderId="10" xfId="63" applyNumberFormat="1" applyFont="1" applyFill="1" applyBorder="1" applyAlignment="1">
      <alignment vertical="center" wrapText="1"/>
    </xf>
    <xf numFmtId="2" fontId="72" fillId="0" borderId="0" xfId="0" applyNumberFormat="1" applyFont="1" applyFill="1" applyAlignment="1">
      <alignment vertical="center" wrapText="1"/>
    </xf>
    <xf numFmtId="165" fontId="5" fillId="34" borderId="10" xfId="63" applyNumberFormat="1" applyFont="1" applyFill="1" applyBorder="1" applyAlignment="1">
      <alignment vertic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49" fontId="58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8" fillId="34" borderId="0" xfId="0" applyNumberFormat="1" applyFont="1" applyFill="1" applyAlignment="1">
      <alignment/>
    </xf>
    <xf numFmtId="0" fontId="58" fillId="34" borderId="0" xfId="0" applyFont="1" applyFill="1" applyAlignment="1">
      <alignment horizontal="center"/>
    </xf>
    <xf numFmtId="1" fontId="0" fillId="0" borderId="0" xfId="0" applyNumberFormat="1" applyAlignment="1">
      <alignment/>
    </xf>
    <xf numFmtId="2" fontId="58" fillId="34" borderId="0" xfId="0" applyNumberFormat="1" applyFont="1" applyFill="1" applyBorder="1" applyAlignment="1">
      <alignment/>
    </xf>
    <xf numFmtId="2" fontId="58" fillId="34" borderId="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0" fontId="7" fillId="0" borderId="0" xfId="33" applyFont="1" applyFill="1" applyAlignment="1" applyProtection="1">
      <alignment vertical="center" wrapText="1"/>
      <protection/>
    </xf>
    <xf numFmtId="0" fontId="77" fillId="0" borderId="0" xfId="0" applyFont="1" applyFill="1" applyAlignment="1" applyProtection="1">
      <alignment vertical="center" wrapText="1"/>
      <protection/>
    </xf>
    <xf numFmtId="0" fontId="7" fillId="0" borderId="0" xfId="33" applyFont="1" applyFill="1" applyAlignment="1" applyProtection="1">
      <alignment horizontal="center" vertical="center" wrapText="1"/>
      <protection/>
    </xf>
    <xf numFmtId="0" fontId="11" fillId="33" borderId="10" xfId="54" applyFont="1" applyFill="1" applyBorder="1" applyAlignment="1" applyProtection="1">
      <alignment horizontal="center" vertical="center" wrapText="1"/>
      <protection/>
    </xf>
    <xf numFmtId="0" fontId="11" fillId="35" borderId="10" xfId="54" applyFont="1" applyFill="1" applyBorder="1" applyAlignment="1" applyProtection="1">
      <alignment horizontal="center" vertical="center" wrapText="1"/>
      <protection/>
    </xf>
    <xf numFmtId="0" fontId="11" fillId="36" borderId="10" xfId="54" applyFont="1" applyFill="1" applyBorder="1" applyAlignment="1" applyProtection="1">
      <alignment horizontal="center" vertical="center" wrapText="1"/>
      <protection/>
    </xf>
    <xf numFmtId="0" fontId="7" fillId="0" borderId="10" xfId="33" applyNumberFormat="1" applyFont="1" applyFill="1" applyBorder="1" applyAlignment="1" applyProtection="1">
      <alignment horizontal="left" vertical="center" wrapText="1"/>
      <protection/>
    </xf>
    <xf numFmtId="177" fontId="10" fillId="33" borderId="10" xfId="54" applyNumberFormat="1" applyFont="1" applyFill="1" applyBorder="1" applyAlignment="1" applyProtection="1">
      <alignment horizontal="center" vertical="center" wrapText="1"/>
      <protection/>
    </xf>
    <xf numFmtId="177" fontId="10" fillId="35" borderId="10" xfId="54" applyNumberFormat="1" applyFont="1" applyFill="1" applyBorder="1" applyAlignment="1" applyProtection="1">
      <alignment horizontal="center" vertical="center" wrapText="1"/>
      <protection/>
    </xf>
    <xf numFmtId="177" fontId="10" fillId="36" borderId="10" xfId="54" applyNumberFormat="1" applyFont="1" applyFill="1" applyBorder="1" applyAlignment="1" applyProtection="1">
      <alignment horizontal="center" vertical="center" wrapText="1"/>
      <protection/>
    </xf>
    <xf numFmtId="165" fontId="10" fillId="33" borderId="10" xfId="63" applyNumberFormat="1" applyFont="1" applyFill="1" applyBorder="1" applyAlignment="1" applyProtection="1">
      <alignment vertical="center" wrapText="1"/>
      <protection/>
    </xf>
    <xf numFmtId="165" fontId="10" fillId="35" borderId="10" xfId="63" applyNumberFormat="1" applyFont="1" applyFill="1" applyBorder="1" applyAlignment="1" applyProtection="1">
      <alignment vertical="center" wrapText="1"/>
      <protection/>
    </xf>
    <xf numFmtId="165" fontId="10" fillId="36" borderId="10" xfId="63" applyNumberFormat="1" applyFont="1" applyFill="1" applyBorder="1" applyAlignment="1" applyProtection="1">
      <alignment vertical="center" wrapText="1"/>
      <protection/>
    </xf>
    <xf numFmtId="177" fontId="9" fillId="33" borderId="10" xfId="33" applyNumberFormat="1" applyFont="1" applyFill="1" applyBorder="1" applyAlignment="1" applyProtection="1">
      <alignment horizontal="center" vertical="center" wrapText="1"/>
      <protection/>
    </xf>
    <xf numFmtId="177" fontId="9" fillId="35" borderId="10" xfId="33" applyNumberFormat="1" applyFont="1" applyFill="1" applyBorder="1" applyAlignment="1" applyProtection="1">
      <alignment horizontal="center" vertical="center" wrapText="1"/>
      <protection/>
    </xf>
    <xf numFmtId="177" fontId="9" fillId="36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vertical="center" wrapText="1"/>
      <protection/>
    </xf>
    <xf numFmtId="177" fontId="9" fillId="33" borderId="10" xfId="33" applyNumberFormat="1" applyFont="1" applyFill="1" applyBorder="1" applyAlignment="1" applyProtection="1">
      <alignment vertical="center" wrapText="1"/>
      <protection/>
    </xf>
    <xf numFmtId="177" fontId="9" fillId="35" borderId="10" xfId="33" applyNumberFormat="1" applyFont="1" applyFill="1" applyBorder="1" applyAlignment="1" applyProtection="1">
      <alignment vertical="center" wrapText="1"/>
      <protection/>
    </xf>
    <xf numFmtId="177" fontId="9" fillId="36" borderId="10" xfId="33" applyNumberFormat="1" applyFont="1" applyFill="1" applyBorder="1" applyAlignment="1" applyProtection="1">
      <alignment vertical="center" wrapText="1"/>
      <protection/>
    </xf>
    <xf numFmtId="0" fontId="9" fillId="0" borderId="0" xfId="33" applyFont="1" applyFill="1" applyAlignment="1" applyProtection="1">
      <alignment vertical="center" wrapText="1"/>
      <protection/>
    </xf>
    <xf numFmtId="165" fontId="5" fillId="34" borderId="10" xfId="63" applyNumberFormat="1" applyFont="1" applyFill="1" applyBorder="1" applyAlignment="1" applyProtection="1">
      <alignment vertical="center" wrapText="1"/>
      <protection locked="0"/>
    </xf>
    <xf numFmtId="177" fontId="12" fillId="0" borderId="0" xfId="0" applyNumberFormat="1" applyFont="1" applyFill="1" applyAlignment="1">
      <alignment vertical="center" wrapText="1"/>
    </xf>
    <xf numFmtId="177" fontId="4" fillId="33" borderId="10" xfId="63" applyNumberFormat="1" applyFont="1" applyFill="1" applyBorder="1" applyAlignment="1">
      <alignment vertical="center" wrapText="1"/>
    </xf>
    <xf numFmtId="177" fontId="5" fillId="0" borderId="10" xfId="63" applyNumberFormat="1" applyFont="1" applyFill="1" applyBorder="1" applyAlignment="1">
      <alignment vertical="center" wrapText="1"/>
    </xf>
    <xf numFmtId="177" fontId="78" fillId="33" borderId="10" xfId="63" applyNumberFormat="1" applyFont="1" applyFill="1" applyBorder="1" applyAlignment="1">
      <alignment vertical="center" wrapText="1"/>
    </xf>
    <xf numFmtId="177" fontId="78" fillId="34" borderId="10" xfId="63" applyNumberFormat="1" applyFont="1" applyFill="1" applyBorder="1" applyAlignment="1">
      <alignment vertical="center" wrapText="1"/>
    </xf>
    <xf numFmtId="177" fontId="76" fillId="34" borderId="10" xfId="63" applyNumberFormat="1" applyFont="1" applyFill="1" applyBorder="1" applyAlignment="1">
      <alignment vertical="center" wrapText="1"/>
    </xf>
    <xf numFmtId="177" fontId="4" fillId="34" borderId="10" xfId="63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4" fontId="4" fillId="36" borderId="10" xfId="63" applyNumberFormat="1" applyFont="1" applyFill="1" applyBorder="1" applyAlignment="1">
      <alignment vertical="center" wrapText="1"/>
    </xf>
    <xf numFmtId="4" fontId="5" fillId="36" borderId="10" xfId="63" applyNumberFormat="1" applyFont="1" applyFill="1" applyBorder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49" fontId="79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4" fillId="0" borderId="10" xfId="63" applyNumberFormat="1" applyFont="1" applyFill="1" applyBorder="1" applyAlignment="1">
      <alignment vertical="center" wrapText="1"/>
    </xf>
    <xf numFmtId="166" fontId="4" fillId="0" borderId="10" xfId="63" applyNumberFormat="1" applyFont="1" applyFill="1" applyBorder="1" applyAlignment="1">
      <alignment vertical="center" wrapText="1"/>
    </xf>
    <xf numFmtId="2" fontId="5" fillId="33" borderId="10" xfId="63" applyNumberFormat="1" applyFont="1" applyFill="1" applyBorder="1" applyAlignment="1">
      <alignment vertical="center" wrapText="1"/>
    </xf>
    <xf numFmtId="164" fontId="4" fillId="37" borderId="10" xfId="63" applyNumberFormat="1" applyFont="1" applyFill="1" applyBorder="1" applyAlignment="1">
      <alignment vertical="center" wrapText="1"/>
    </xf>
    <xf numFmtId="164" fontId="4" fillId="34" borderId="10" xfId="63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4" fillId="0" borderId="10" xfId="33" applyNumberFormat="1" applyFont="1" applyFill="1" applyBorder="1">
      <alignment/>
      <protection/>
    </xf>
    <xf numFmtId="166" fontId="5" fillId="0" borderId="10" xfId="63" applyNumberFormat="1" applyFont="1" applyFill="1" applyBorder="1" applyAlignment="1">
      <alignment vertical="center" wrapText="1"/>
    </xf>
    <xf numFmtId="164" fontId="5" fillId="33" borderId="10" xfId="63" applyNumberFormat="1" applyFont="1" applyFill="1" applyBorder="1" applyAlignment="1">
      <alignment vertical="center" wrapText="1"/>
    </xf>
    <xf numFmtId="2" fontId="5" fillId="0" borderId="10" xfId="63" applyNumberFormat="1" applyFont="1" applyFill="1" applyBorder="1" applyAlignment="1">
      <alignment vertical="center" wrapText="1"/>
    </xf>
    <xf numFmtId="164" fontId="5" fillId="37" borderId="10" xfId="63" applyNumberFormat="1" applyFont="1" applyFill="1" applyBorder="1" applyAlignment="1" applyProtection="1">
      <alignment vertical="center" wrapText="1"/>
      <protection locked="0"/>
    </xf>
    <xf numFmtId="164" fontId="5" fillId="37" borderId="10" xfId="63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164" fontId="4" fillId="0" borderId="10" xfId="63" applyNumberFormat="1" applyFont="1" applyFill="1" applyBorder="1" applyAlignment="1">
      <alignment vertical="center" wrapText="1"/>
    </xf>
    <xf numFmtId="164" fontId="5" fillId="0" borderId="10" xfId="63" applyNumberFormat="1" applyFont="1" applyFill="1" applyBorder="1" applyAlignment="1">
      <alignment vertical="center" wrapText="1"/>
    </xf>
    <xf numFmtId="2" fontId="4" fillId="36" borderId="10" xfId="63" applyNumberFormat="1" applyFont="1" applyFill="1" applyBorder="1" applyAlignment="1">
      <alignment vertical="center" wrapText="1"/>
    </xf>
    <xf numFmtId="2" fontId="5" fillId="36" borderId="10" xfId="63" applyNumberFormat="1" applyFont="1" applyFill="1" applyBorder="1" applyAlignment="1">
      <alignment vertical="center" wrapText="1"/>
    </xf>
    <xf numFmtId="177" fontId="4" fillId="0" borderId="10" xfId="63" applyNumberFormat="1" applyFont="1" applyFill="1" applyBorder="1" applyAlignment="1" applyProtection="1">
      <alignment vertical="center" wrapText="1"/>
      <protection locked="0"/>
    </xf>
    <xf numFmtId="177" fontId="5" fillId="34" borderId="10" xfId="63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77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177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/>
    </xf>
    <xf numFmtId="177" fontId="46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Border="1" applyAlignment="1">
      <alignment/>
    </xf>
    <xf numFmtId="49" fontId="44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49" fontId="44" fillId="0" borderId="10" xfId="0" applyNumberFormat="1" applyFont="1" applyBorder="1" applyAlignment="1">
      <alignment horizontal="center" wrapText="1"/>
    </xf>
    <xf numFmtId="177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/>
    </xf>
    <xf numFmtId="177" fontId="44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Alignment="1" applyProtection="1">
      <alignment horizontal="center" vertical="center" wrapText="1"/>
      <protection/>
    </xf>
    <xf numFmtId="0" fontId="81" fillId="10" borderId="0" xfId="0" applyFont="1" applyFill="1" applyAlignment="1">
      <alignment horizontal="center"/>
    </xf>
    <xf numFmtId="0" fontId="82" fillId="11" borderId="0" xfId="0" applyFont="1" applyFill="1" applyAlignment="1">
      <alignment horizontal="center"/>
    </xf>
    <xf numFmtId="0" fontId="49" fillId="13" borderId="1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.Приложение 1- свод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view="pageBreakPreview" zoomScale="110" zoomScaleNormal="80" zoomScaleSheetLayoutView="110" zoomScalePageLayoutView="0" workbookViewId="0" topLeftCell="A1">
      <pane xSplit="1" topLeftCell="AB1" activePane="topRight" state="frozen"/>
      <selection pane="topLeft" activeCell="A3" sqref="A3"/>
      <selection pane="topRight" activeCell="AI17" sqref="AI17"/>
    </sheetView>
  </sheetViews>
  <sheetFormatPr defaultColWidth="9.140625" defaultRowHeight="15"/>
  <cols>
    <col min="1" max="1" width="26.28125" style="92" customWidth="1"/>
    <col min="2" max="3" width="11.7109375" style="92" customWidth="1"/>
    <col min="4" max="4" width="11.421875" style="92" customWidth="1"/>
    <col min="5" max="6" width="13.421875" style="92" customWidth="1"/>
    <col min="7" max="7" width="12.8515625" style="23" customWidth="1"/>
    <col min="8" max="8" width="11.7109375" style="23" customWidth="1"/>
    <col min="9" max="9" width="15.28125" style="23" customWidth="1"/>
    <col min="10" max="11" width="13.57421875" style="23" customWidth="1"/>
    <col min="12" max="12" width="14.8515625" style="23" customWidth="1"/>
    <col min="13" max="14" width="13.57421875" style="23" customWidth="1"/>
    <col min="15" max="15" width="15.28125" style="111" customWidth="1"/>
    <col min="16" max="16" width="14.140625" style="111" customWidth="1"/>
    <col min="17" max="17" width="15.28125" style="111" customWidth="1"/>
    <col min="18" max="29" width="11.7109375" style="23" customWidth="1"/>
    <col min="30" max="31" width="16.28125" style="23" customWidth="1"/>
    <col min="32" max="32" width="18.421875" style="23" customWidth="1"/>
    <col min="33" max="33" width="13.7109375" style="23" customWidth="1"/>
    <col min="34" max="34" width="17.7109375" style="23" customWidth="1"/>
    <col min="35" max="35" width="14.7109375" style="112" customWidth="1"/>
    <col min="36" max="37" width="14.57421875" style="112" customWidth="1"/>
    <col min="38" max="38" width="15.8515625" style="92" customWidth="1"/>
    <col min="39" max="39" width="13.7109375" style="92" bestFit="1" customWidth="1"/>
    <col min="40" max="40" width="15.57421875" style="92" customWidth="1"/>
    <col min="41" max="16384" width="9.140625" style="92" customWidth="1"/>
  </cols>
  <sheetData>
    <row r="1" spans="1:37" ht="24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2"/>
    </row>
    <row r="2" spans="1:40" s="93" customFormat="1" ht="230.25" customHeight="1">
      <c r="A2" s="85" t="s">
        <v>0</v>
      </c>
      <c r="B2" s="17" t="s">
        <v>140</v>
      </c>
      <c r="C2" s="17" t="s">
        <v>141</v>
      </c>
      <c r="D2" s="17" t="s">
        <v>16</v>
      </c>
      <c r="E2" s="21" t="s">
        <v>17</v>
      </c>
      <c r="F2" s="8" t="s">
        <v>60</v>
      </c>
      <c r="G2" s="21" t="s">
        <v>18</v>
      </c>
      <c r="H2" s="8" t="s">
        <v>19</v>
      </c>
      <c r="I2" s="8" t="s">
        <v>20</v>
      </c>
      <c r="J2" s="21" t="s">
        <v>21</v>
      </c>
      <c r="K2" s="18" t="s">
        <v>22</v>
      </c>
      <c r="L2" s="18" t="s">
        <v>23</v>
      </c>
      <c r="M2" s="18" t="s">
        <v>24</v>
      </c>
      <c r="N2" s="21" t="s">
        <v>34</v>
      </c>
      <c r="O2" s="9" t="s">
        <v>25</v>
      </c>
      <c r="P2" s="9" t="s">
        <v>27</v>
      </c>
      <c r="Q2" s="9" t="s">
        <v>26</v>
      </c>
      <c r="R2" s="21" t="s">
        <v>28</v>
      </c>
      <c r="S2" s="8" t="s">
        <v>29</v>
      </c>
      <c r="T2" s="21" t="s">
        <v>30</v>
      </c>
      <c r="U2" s="8" t="s">
        <v>31</v>
      </c>
      <c r="V2" s="8" t="s">
        <v>32</v>
      </c>
      <c r="W2" s="21" t="s">
        <v>33</v>
      </c>
      <c r="X2" s="14" t="s">
        <v>35</v>
      </c>
      <c r="Y2" s="20" t="s">
        <v>51</v>
      </c>
      <c r="Z2" s="21" t="s">
        <v>48</v>
      </c>
      <c r="AA2" s="20" t="s">
        <v>49</v>
      </c>
      <c r="AB2" s="21" t="s">
        <v>52</v>
      </c>
      <c r="AC2" s="14" t="s">
        <v>53</v>
      </c>
      <c r="AD2" s="22" t="s">
        <v>50</v>
      </c>
      <c r="AE2" s="21" t="s">
        <v>54</v>
      </c>
      <c r="AF2" s="8" t="s">
        <v>55</v>
      </c>
      <c r="AG2" s="29" t="s">
        <v>56</v>
      </c>
      <c r="AH2" s="22" t="s">
        <v>57</v>
      </c>
      <c r="AI2" s="32" t="s">
        <v>58</v>
      </c>
      <c r="AJ2" s="33" t="s">
        <v>59</v>
      </c>
      <c r="AK2" s="33"/>
      <c r="AL2" s="85"/>
      <c r="AM2" s="85"/>
      <c r="AN2" s="85"/>
    </row>
    <row r="3" spans="1:40" s="101" customFormat="1" ht="18.75">
      <c r="A3" s="19" t="s">
        <v>1</v>
      </c>
      <c r="B3" s="102">
        <v>5129</v>
      </c>
      <c r="C3" s="102">
        <v>5129</v>
      </c>
      <c r="D3" s="102">
        <v>513</v>
      </c>
      <c r="E3" s="26">
        <f>(1+D3/B3)/(1+D$15/B$15)</f>
        <v>0.8989882305508062</v>
      </c>
      <c r="F3" s="94">
        <v>126.57</v>
      </c>
      <c r="G3" s="26">
        <f>(F3/B3)/(F$15/B$15)</f>
        <v>1.127468711324565</v>
      </c>
      <c r="H3" s="95"/>
      <c r="I3" s="24"/>
      <c r="J3" s="26">
        <f aca="true" t="shared" si="0" ref="J3:J15">SUM(I$15+(1-I$15)*H$15/B3)</f>
        <v>0.8594332878403848</v>
      </c>
      <c r="K3" s="94"/>
      <c r="L3" s="94"/>
      <c r="M3" s="94"/>
      <c r="N3" s="96">
        <f>SUM(K$15*J3+L$15*G3+M$15*E3)</f>
        <v>0.8691148606468382</v>
      </c>
      <c r="O3" s="94">
        <v>76.71</v>
      </c>
      <c r="P3" s="94">
        <v>1763.95</v>
      </c>
      <c r="Q3" s="94">
        <v>4.59</v>
      </c>
      <c r="R3" s="26">
        <f>SUM(0.2*O3/O$15+0.65*P3/P$15+0.15*Q3/Q$15)</f>
        <v>0.6318787883291962</v>
      </c>
      <c r="S3" s="97">
        <f>SUM(C3/B3)</f>
        <v>1</v>
      </c>
      <c r="T3" s="26">
        <f>SUM((1+0.25*S3)/(1+0.25*S$15))</f>
        <v>1</v>
      </c>
      <c r="U3" s="24"/>
      <c r="V3" s="24"/>
      <c r="W3" s="26">
        <f>SUM(U$15*T3+V$15*R3+1-U$15-V$15)</f>
        <v>0.9818612939068396</v>
      </c>
      <c r="X3" s="24">
        <f>SUM(W3*N3*B3)</f>
        <v>4376.833389311895</v>
      </c>
      <c r="Y3" s="26">
        <f>SUM(W3*N3*B$15/X$15)</f>
        <v>0.8722586740468868</v>
      </c>
      <c r="Z3" s="25">
        <f>SUM(НПn2015!N3)</f>
        <v>13449.388268150906</v>
      </c>
      <c r="AA3" s="26">
        <f>(Z3/B3)/(Z$15/B$15)</f>
        <v>1.6924799682781897</v>
      </c>
      <c r="AB3" s="26">
        <f>SUM(AA3/Y3)</f>
        <v>1.940341802995029</v>
      </c>
      <c r="AC3" s="24">
        <f>SUM(ПНД!K5)</f>
        <v>13328.5</v>
      </c>
      <c r="AD3" s="35"/>
      <c r="AE3" s="25">
        <f aca="true" t="shared" si="1" ref="AE3:AE15">SUM(AC$15+AD$15)/AC$15</f>
        <v>8.63212231496045</v>
      </c>
      <c r="AF3" s="24">
        <f>SUM(AC$15/B$15)*(AE$15-AB3)*Y3*B3</f>
        <v>57029.43682569282</v>
      </c>
      <c r="AG3" s="30">
        <f>SUM(AD$15*AF3/AF$15)</f>
        <v>57029.436825692814</v>
      </c>
      <c r="AH3" s="98"/>
      <c r="AI3" s="30">
        <f>SUM(AH$15*B3/B$15)</f>
        <v>8613.999863313285</v>
      </c>
      <c r="AJ3" s="82">
        <f aca="true" t="shared" si="2" ref="AJ3:AJ14">SUM(AI3+AG3)</f>
        <v>65643.4366890061</v>
      </c>
      <c r="AK3" s="82">
        <v>65643.4</v>
      </c>
      <c r="AL3" s="99">
        <v>76960.69</v>
      </c>
      <c r="AM3" s="99">
        <f>AJ3-AL3</f>
        <v>-11317.253310993896</v>
      </c>
      <c r="AN3" s="100">
        <v>4755</v>
      </c>
    </row>
    <row r="4" spans="1:40" s="101" customFormat="1" ht="18.75">
      <c r="A4" s="19" t="s">
        <v>2</v>
      </c>
      <c r="B4" s="102">
        <v>1058</v>
      </c>
      <c r="C4" s="102">
        <v>1058</v>
      </c>
      <c r="D4" s="102">
        <v>0</v>
      </c>
      <c r="E4" s="26">
        <f aca="true" t="shared" si="3" ref="E4:E15">(1+D4/B4)/(1+D$15/B$15)</f>
        <v>0.8172475424486149</v>
      </c>
      <c r="F4" s="94">
        <v>13.42</v>
      </c>
      <c r="G4" s="26">
        <f aca="true" t="shared" si="4" ref="G4:G15">(F4/B4)/(F$15/B$15)</f>
        <v>0.5795264544508062</v>
      </c>
      <c r="H4" s="95"/>
      <c r="I4" s="24"/>
      <c r="J4" s="26">
        <f t="shared" si="0"/>
        <v>1.088122243226213</v>
      </c>
      <c r="K4" s="94"/>
      <c r="L4" s="94"/>
      <c r="M4" s="94"/>
      <c r="N4" s="96">
        <f aca="true" t="shared" si="5" ref="N4:N14">SUM(K$15*J4+L$15*G4+M$15*E4)</f>
        <v>0.9331780165028305</v>
      </c>
      <c r="O4" s="94">
        <v>100.23</v>
      </c>
      <c r="P4" s="94">
        <v>0</v>
      </c>
      <c r="Q4" s="94">
        <v>4.59</v>
      </c>
      <c r="R4" s="26">
        <f aca="true" t="shared" si="6" ref="R4:R15">SUM(0.2*O4/O$15+0.65*P4/P$15+0.15*Q4/Q$15)</f>
        <v>0.28761494625072814</v>
      </c>
      <c r="S4" s="97">
        <f aca="true" t="shared" si="7" ref="S4:S15">SUM(C4/B4)</f>
        <v>1</v>
      </c>
      <c r="T4" s="26">
        <f aca="true" t="shared" si="8" ref="T4:T15">SUM((1+0.25*S4)/(1+0.25*S$15))</f>
        <v>1</v>
      </c>
      <c r="U4" s="24"/>
      <c r="V4" s="24"/>
      <c r="W4" s="26">
        <f aca="true" t="shared" si="9" ref="W4:W15">SUM(U$15*T4+V$15*R4+1-U$15-V$15)</f>
        <v>0.9648981294599406</v>
      </c>
      <c r="X4" s="24">
        <f aca="true" t="shared" si="10" ref="X4:X14">SUM(W4*N4*B4)</f>
        <v>952.6461824861684</v>
      </c>
      <c r="Y4" s="26">
        <f aca="true" t="shared" si="11" ref="Y4:Y15">SUM(W4*N4*B$15/X$15)</f>
        <v>0.9203731592307012</v>
      </c>
      <c r="Z4" s="25">
        <f>SUM(НПn2015!N4)</f>
        <v>2531.528049833931</v>
      </c>
      <c r="AA4" s="26">
        <f aca="true" t="shared" si="12" ref="AA4:AA15">(Z4/B4)/(Z$15/B$15)</f>
        <v>1.5443679529700656</v>
      </c>
      <c r="AB4" s="26">
        <f aca="true" t="shared" si="13" ref="AB4:AB15">SUM(AA4/Y4)</f>
        <v>1.6779802164819038</v>
      </c>
      <c r="AC4" s="24">
        <f>SUM(ПНД!K6)</f>
        <v>3950.2999999999997</v>
      </c>
      <c r="AD4" s="35"/>
      <c r="AE4" s="25">
        <f t="shared" si="1"/>
        <v>8.63212231496045</v>
      </c>
      <c r="AF4" s="24">
        <f aca="true" t="shared" si="14" ref="AF4:AF14">SUM(AC$15/B$15)*(AE$15-AB4)*Y4*B4</f>
        <v>12899.490954758166</v>
      </c>
      <c r="AG4" s="30">
        <f aca="true" t="shared" si="15" ref="AG4:AG14">SUM(AD$15*AF4/AF$15)</f>
        <v>12899.490954758163</v>
      </c>
      <c r="AH4" s="98"/>
      <c r="AI4" s="30">
        <f aca="true" t="shared" si="16" ref="AI4:AI14">SUM(AH$15*B4/B$15)</f>
        <v>1776.8788955713505</v>
      </c>
      <c r="AJ4" s="82">
        <f t="shared" si="2"/>
        <v>14676.369850329513</v>
      </c>
      <c r="AK4" s="82">
        <v>14676.4</v>
      </c>
      <c r="AL4" s="99">
        <v>18806.27</v>
      </c>
      <c r="AM4" s="99">
        <f aca="true" t="shared" si="17" ref="AM4:AM14">AJ4-AL4</f>
        <v>-4129.900149670488</v>
      </c>
      <c r="AN4" s="100">
        <v>1165.6</v>
      </c>
    </row>
    <row r="5" spans="1:40" s="101" customFormat="1" ht="18.75">
      <c r="A5" s="19" t="s">
        <v>3</v>
      </c>
      <c r="B5" s="102">
        <v>1371</v>
      </c>
      <c r="C5" s="102">
        <v>1371</v>
      </c>
      <c r="D5" s="102">
        <v>592</v>
      </c>
      <c r="E5" s="26">
        <f t="shared" si="3"/>
        <v>1.1701363426890088</v>
      </c>
      <c r="F5" s="94">
        <v>31.77</v>
      </c>
      <c r="G5" s="26">
        <f t="shared" si="4"/>
        <v>1.0587323357943843</v>
      </c>
      <c r="H5" s="95"/>
      <c r="I5" s="24"/>
      <c r="J5" s="26">
        <f t="shared" si="0"/>
        <v>1.0223437879893023</v>
      </c>
      <c r="K5" s="94"/>
      <c r="L5" s="94"/>
      <c r="M5" s="94"/>
      <c r="N5" s="96">
        <f t="shared" si="5"/>
        <v>1.0685121056578977</v>
      </c>
      <c r="O5" s="94">
        <v>292.81</v>
      </c>
      <c r="P5" s="94">
        <v>2529.29</v>
      </c>
      <c r="Q5" s="94">
        <v>4.59</v>
      </c>
      <c r="R5" s="26">
        <f t="shared" si="6"/>
        <v>1.1130646157579376</v>
      </c>
      <c r="S5" s="97">
        <f t="shared" si="7"/>
        <v>1</v>
      </c>
      <c r="T5" s="26">
        <f t="shared" si="8"/>
        <v>1</v>
      </c>
      <c r="U5" s="24"/>
      <c r="V5" s="24"/>
      <c r="W5" s="26">
        <f t="shared" si="9"/>
        <v>1.0055711156264566</v>
      </c>
      <c r="X5" s="24">
        <f t="shared" si="10"/>
        <v>1473.0913918112442</v>
      </c>
      <c r="Y5" s="26">
        <f t="shared" si="11"/>
        <v>1.0982727748997319</v>
      </c>
      <c r="Z5" s="25">
        <f>SUM(НПn2015!N5)</f>
        <v>1923.2060297720482</v>
      </c>
      <c r="AA5" s="26">
        <f t="shared" si="12"/>
        <v>0.9054032771038636</v>
      </c>
      <c r="AB5" s="26">
        <f t="shared" si="13"/>
        <v>0.8243883466805626</v>
      </c>
      <c r="AC5" s="24">
        <f>SUM(ПНД!K7)</f>
        <v>2984.1000000000004</v>
      </c>
      <c r="AD5" s="35"/>
      <c r="AE5" s="25">
        <f t="shared" si="1"/>
        <v>8.63212231496045</v>
      </c>
      <c r="AF5" s="24">
        <f t="shared" si="14"/>
        <v>22395.05220341858</v>
      </c>
      <c r="AG5" s="30">
        <f t="shared" si="15"/>
        <v>22395.052203418574</v>
      </c>
      <c r="AH5" s="98"/>
      <c r="AI5" s="30">
        <f t="shared" si="16"/>
        <v>2302.552897758338</v>
      </c>
      <c r="AJ5" s="82">
        <f t="shared" si="2"/>
        <v>24697.605101176912</v>
      </c>
      <c r="AK5" s="82">
        <v>24697.6</v>
      </c>
      <c r="AL5" s="99">
        <v>25150.56</v>
      </c>
      <c r="AM5" s="99">
        <f t="shared" si="17"/>
        <v>-452.954898823089</v>
      </c>
      <c r="AN5" s="100">
        <v>1527.6</v>
      </c>
    </row>
    <row r="6" spans="1:40" s="101" customFormat="1" ht="18.75">
      <c r="A6" s="19" t="s">
        <v>4</v>
      </c>
      <c r="B6" s="102">
        <v>810</v>
      </c>
      <c r="C6" s="102">
        <v>810</v>
      </c>
      <c r="D6" s="102">
        <v>52</v>
      </c>
      <c r="E6" s="26">
        <f t="shared" si="3"/>
        <v>0.8697128167786494</v>
      </c>
      <c r="F6" s="94">
        <v>19.83</v>
      </c>
      <c r="G6" s="26">
        <f t="shared" si="4"/>
        <v>1.1185209240015397</v>
      </c>
      <c r="H6" s="95"/>
      <c r="I6" s="24"/>
      <c r="J6" s="26">
        <f t="shared" si="0"/>
        <v>1.1763374485596707</v>
      </c>
      <c r="K6" s="94"/>
      <c r="L6" s="94"/>
      <c r="M6" s="94"/>
      <c r="N6" s="96">
        <f t="shared" si="5"/>
        <v>1.0188216442568754</v>
      </c>
      <c r="O6" s="94">
        <v>292.81</v>
      </c>
      <c r="P6" s="94">
        <v>3241.83</v>
      </c>
      <c r="Q6" s="94">
        <v>5.2</v>
      </c>
      <c r="R6" s="26">
        <f t="shared" si="6"/>
        <v>1.2847515096386972</v>
      </c>
      <c r="S6" s="97">
        <f t="shared" si="7"/>
        <v>1</v>
      </c>
      <c r="T6" s="26">
        <f t="shared" si="8"/>
        <v>1</v>
      </c>
      <c r="U6" s="24"/>
      <c r="V6" s="24"/>
      <c r="W6" s="26">
        <f t="shared" si="9"/>
        <v>1.0140307697007662</v>
      </c>
      <c r="X6" s="24">
        <f t="shared" si="10"/>
        <v>836.8243618520157</v>
      </c>
      <c r="Y6" s="26">
        <f t="shared" si="11"/>
        <v>1.0560081676621373</v>
      </c>
      <c r="Z6" s="25">
        <f>SUM(НПn2015!N6)</f>
        <v>593.2687443209009</v>
      </c>
      <c r="AA6" s="26">
        <f t="shared" si="12"/>
        <v>0.4727376094093193</v>
      </c>
      <c r="AB6" s="26">
        <f t="shared" si="13"/>
        <v>0.44766472825290543</v>
      </c>
      <c r="AC6" s="24">
        <f>SUM(ПНД!K13)</f>
        <v>602.5</v>
      </c>
      <c r="AD6" s="35"/>
      <c r="AE6" s="25">
        <f t="shared" si="1"/>
        <v>8.63212231496045</v>
      </c>
      <c r="AF6" s="24">
        <f t="shared" si="14"/>
        <v>13335.877504285312</v>
      </c>
      <c r="AG6" s="30">
        <f t="shared" si="15"/>
        <v>13335.877504285309</v>
      </c>
      <c r="AH6" s="98"/>
      <c r="AI6" s="30">
        <f t="shared" si="16"/>
        <v>1360.3704209950793</v>
      </c>
      <c r="AJ6" s="82">
        <f t="shared" si="2"/>
        <v>14696.247925280388</v>
      </c>
      <c r="AK6" s="82">
        <v>14696.3</v>
      </c>
      <c r="AL6" s="99">
        <v>17170.81</v>
      </c>
      <c r="AM6" s="99">
        <f t="shared" si="17"/>
        <v>-2474.5620747196135</v>
      </c>
      <c r="AN6" s="100">
        <v>986.1</v>
      </c>
    </row>
    <row r="7" spans="1:40" s="101" customFormat="1" ht="18.75">
      <c r="A7" s="19" t="s">
        <v>5</v>
      </c>
      <c r="B7" s="102">
        <v>1011</v>
      </c>
      <c r="C7" s="102">
        <v>1011</v>
      </c>
      <c r="D7" s="102">
        <v>295</v>
      </c>
      <c r="E7" s="26">
        <f t="shared" si="3"/>
        <v>1.0557124534499418</v>
      </c>
      <c r="F7" s="94">
        <v>23.04</v>
      </c>
      <c r="G7" s="26">
        <f t="shared" si="4"/>
        <v>1.0412085761657737</v>
      </c>
      <c r="H7" s="95"/>
      <c r="I7" s="24"/>
      <c r="J7" s="26">
        <f t="shared" si="0"/>
        <v>1.1015166501813387</v>
      </c>
      <c r="K7" s="94"/>
      <c r="L7" s="94"/>
      <c r="M7" s="94"/>
      <c r="N7" s="96">
        <f t="shared" si="5"/>
        <v>1.0588142557426605</v>
      </c>
      <c r="O7" s="94">
        <v>186.59</v>
      </c>
      <c r="P7" s="94">
        <v>4079.41</v>
      </c>
      <c r="Q7" s="94">
        <v>5.2</v>
      </c>
      <c r="R7" s="26">
        <f t="shared" si="6"/>
        <v>1.3088500615885361</v>
      </c>
      <c r="S7" s="97">
        <f t="shared" si="7"/>
        <v>1</v>
      </c>
      <c r="T7" s="26">
        <f t="shared" si="8"/>
        <v>1</v>
      </c>
      <c r="U7" s="24"/>
      <c r="V7" s="24"/>
      <c r="W7" s="26">
        <f t="shared" si="9"/>
        <v>1.0152181953019832</v>
      </c>
      <c r="X7" s="24">
        <f t="shared" si="10"/>
        <v>1086.751700351702</v>
      </c>
      <c r="Y7" s="26">
        <f t="shared" si="11"/>
        <v>1.0987456125914847</v>
      </c>
      <c r="Z7" s="25">
        <f>SUM(НПn2015!N7)</f>
        <v>828.0671496227735</v>
      </c>
      <c r="AA7" s="26">
        <f t="shared" si="12"/>
        <v>0.5286498403088524</v>
      </c>
      <c r="AB7" s="26">
        <f t="shared" si="13"/>
        <v>0.48113943232227063</v>
      </c>
      <c r="AC7" s="24">
        <f>SUM(ПНД!K9)</f>
        <v>1650.1</v>
      </c>
      <c r="AD7" s="35"/>
      <c r="AE7" s="25">
        <f t="shared" si="1"/>
        <v>8.63212231496045</v>
      </c>
      <c r="AF7" s="24">
        <f t="shared" si="14"/>
        <v>17247.958147181427</v>
      </c>
      <c r="AG7" s="30">
        <f t="shared" si="15"/>
        <v>17247.958147181424</v>
      </c>
      <c r="AH7" s="98"/>
      <c r="AI7" s="30">
        <f t="shared" si="16"/>
        <v>1697.9438217605248</v>
      </c>
      <c r="AJ7" s="82">
        <f t="shared" si="2"/>
        <v>18945.901968941947</v>
      </c>
      <c r="AK7" s="82">
        <v>18945.9</v>
      </c>
      <c r="AL7" s="99">
        <v>22492.48</v>
      </c>
      <c r="AM7" s="99">
        <f t="shared" si="17"/>
        <v>-3546.578031058052</v>
      </c>
      <c r="AN7" s="100">
        <v>1301.8</v>
      </c>
    </row>
    <row r="8" spans="1:40" s="101" customFormat="1" ht="18.75">
      <c r="A8" s="19" t="s">
        <v>6</v>
      </c>
      <c r="B8" s="102">
        <v>1428</v>
      </c>
      <c r="C8" s="102">
        <v>1428</v>
      </c>
      <c r="D8" s="102">
        <v>470</v>
      </c>
      <c r="E8" s="26">
        <f t="shared" si="3"/>
        <v>1.0862295767279209</v>
      </c>
      <c r="F8" s="94">
        <v>26.7</v>
      </c>
      <c r="G8" s="26">
        <f t="shared" si="4"/>
        <v>0.8542588198348885</v>
      </c>
      <c r="H8" s="95"/>
      <c r="I8" s="24"/>
      <c r="J8" s="26">
        <f t="shared" si="0"/>
        <v>1.013468720821662</v>
      </c>
      <c r="K8" s="94"/>
      <c r="L8" s="94"/>
      <c r="M8" s="94"/>
      <c r="N8" s="96">
        <f t="shared" si="5"/>
        <v>1.0208024209771471</v>
      </c>
      <c r="O8" s="94">
        <v>100.22</v>
      </c>
      <c r="P8" s="94">
        <v>3138.88</v>
      </c>
      <c r="Q8" s="94">
        <v>4.59</v>
      </c>
      <c r="R8" s="26">
        <f t="shared" si="6"/>
        <v>0.9615707371610289</v>
      </c>
      <c r="S8" s="97">
        <f t="shared" si="7"/>
        <v>1</v>
      </c>
      <c r="T8" s="26">
        <f t="shared" si="8"/>
        <v>1</v>
      </c>
      <c r="U8" s="24"/>
      <c r="V8" s="24"/>
      <c r="W8" s="26">
        <f t="shared" si="9"/>
        <v>0.9981064467846088</v>
      </c>
      <c r="X8" s="24">
        <f t="shared" si="10"/>
        <v>1454.945613542455</v>
      </c>
      <c r="Y8" s="26">
        <f t="shared" si="11"/>
        <v>1.0414454650825038</v>
      </c>
      <c r="Z8" s="25">
        <f>SUM(НПn2015!N8)</f>
        <v>1756.853987930539</v>
      </c>
      <c r="AA8" s="26">
        <f t="shared" si="12"/>
        <v>0.7940743472738523</v>
      </c>
      <c r="AB8" s="26">
        <f t="shared" si="13"/>
        <v>0.7624732872699631</v>
      </c>
      <c r="AC8" s="24">
        <f>SUM(ПНД!K14)</f>
        <v>3828.8</v>
      </c>
      <c r="AD8" s="35"/>
      <c r="AE8" s="25">
        <f t="shared" si="1"/>
        <v>8.63212231496045</v>
      </c>
      <c r="AF8" s="24">
        <f t="shared" si="14"/>
        <v>22294.590704384853</v>
      </c>
      <c r="AG8" s="30">
        <f t="shared" si="15"/>
        <v>22294.590704384846</v>
      </c>
      <c r="AH8" s="98"/>
      <c r="AI8" s="30">
        <f t="shared" si="16"/>
        <v>2398.2826681246584</v>
      </c>
      <c r="AJ8" s="82">
        <f t="shared" si="2"/>
        <v>24692.873372509504</v>
      </c>
      <c r="AK8" s="82">
        <v>24692.9</v>
      </c>
      <c r="AL8" s="99">
        <v>26131.82</v>
      </c>
      <c r="AM8" s="99">
        <f t="shared" si="17"/>
        <v>-1438.9466274904953</v>
      </c>
      <c r="AN8" s="100">
        <v>1552.6</v>
      </c>
    </row>
    <row r="9" spans="1:40" s="101" customFormat="1" ht="18.75">
      <c r="A9" s="19" t="s">
        <v>7</v>
      </c>
      <c r="B9" s="102">
        <v>3207</v>
      </c>
      <c r="C9" s="102">
        <v>3207</v>
      </c>
      <c r="D9" s="102">
        <v>949</v>
      </c>
      <c r="E9" s="26">
        <f t="shared" si="3"/>
        <v>1.0590835005975814</v>
      </c>
      <c r="F9" s="94">
        <v>69.85</v>
      </c>
      <c r="G9" s="26">
        <f t="shared" si="4"/>
        <v>0.9951163640338121</v>
      </c>
      <c r="H9" s="95"/>
      <c r="I9" s="24"/>
      <c r="J9" s="26">
        <f t="shared" si="0"/>
        <v>0.8950524893462218</v>
      </c>
      <c r="K9" s="94"/>
      <c r="L9" s="94"/>
      <c r="M9" s="94"/>
      <c r="N9" s="96">
        <f t="shared" si="5"/>
        <v>0.9527605842454216</v>
      </c>
      <c r="O9" s="94">
        <v>186.59</v>
      </c>
      <c r="P9" s="94">
        <v>2930.47</v>
      </c>
      <c r="Q9" s="94">
        <v>4.59</v>
      </c>
      <c r="R9" s="26">
        <f t="shared" si="6"/>
        <v>1.0434607305888473</v>
      </c>
      <c r="S9" s="97">
        <f t="shared" si="7"/>
        <v>1</v>
      </c>
      <c r="T9" s="26">
        <f t="shared" si="8"/>
        <v>1</v>
      </c>
      <c r="U9" s="24"/>
      <c r="V9" s="24"/>
      <c r="W9" s="26">
        <f t="shared" si="9"/>
        <v>1.002141472411131</v>
      </c>
      <c r="X9" s="24">
        <f t="shared" si="10"/>
        <v>3062.046469466445</v>
      </c>
      <c r="Y9" s="26">
        <f t="shared" si="11"/>
        <v>0.9759572585871289</v>
      </c>
      <c r="Z9" s="25">
        <f>SUM(НПn2015!N9)</f>
        <v>3172.734930294613</v>
      </c>
      <c r="AA9" s="26">
        <f t="shared" si="12"/>
        <v>0.6385406279197409</v>
      </c>
      <c r="AB9" s="26">
        <f t="shared" si="13"/>
        <v>0.6542710987611707</v>
      </c>
      <c r="AC9" s="24">
        <f>SUM(ПНД!K12)</f>
        <v>3611.1</v>
      </c>
      <c r="AD9" s="35"/>
      <c r="AE9" s="25">
        <f t="shared" si="1"/>
        <v>8.63212231496045</v>
      </c>
      <c r="AF9" s="24">
        <f t="shared" si="14"/>
        <v>47565.831172309285</v>
      </c>
      <c r="AG9" s="30">
        <f t="shared" si="15"/>
        <v>47565.83117230928</v>
      </c>
      <c r="AH9" s="98"/>
      <c r="AI9" s="30">
        <f t="shared" si="16"/>
        <v>5386.059185347184</v>
      </c>
      <c r="AJ9" s="82">
        <f t="shared" si="2"/>
        <v>52951.89035765646</v>
      </c>
      <c r="AK9" s="82">
        <v>52951.9</v>
      </c>
      <c r="AL9" s="99">
        <v>55078.2</v>
      </c>
      <c r="AM9" s="99">
        <f t="shared" si="17"/>
        <v>-2126.3096423435345</v>
      </c>
      <c r="AN9" s="100">
        <v>3158.5</v>
      </c>
    </row>
    <row r="10" spans="1:40" s="101" customFormat="1" ht="18.75">
      <c r="A10" s="19" t="s">
        <v>8</v>
      </c>
      <c r="B10" s="102">
        <v>824</v>
      </c>
      <c r="C10" s="102">
        <v>824</v>
      </c>
      <c r="D10" s="102">
        <v>257</v>
      </c>
      <c r="E10" s="26">
        <f t="shared" si="3"/>
        <v>1.072141496828826</v>
      </c>
      <c r="F10" s="94">
        <v>19.86</v>
      </c>
      <c r="G10" s="26">
        <f t="shared" si="4"/>
        <v>1.1011803421340598</v>
      </c>
      <c r="H10" s="95"/>
      <c r="I10" s="24"/>
      <c r="J10" s="26">
        <f t="shared" si="0"/>
        <v>1.1699433656957927</v>
      </c>
      <c r="K10" s="94"/>
      <c r="L10" s="94"/>
      <c r="M10" s="94"/>
      <c r="N10" s="96">
        <f t="shared" si="5"/>
        <v>1.1030495354859757</v>
      </c>
      <c r="O10" s="94">
        <v>100.22</v>
      </c>
      <c r="P10" s="94">
        <v>3455.32</v>
      </c>
      <c r="Q10" s="94">
        <v>5.2</v>
      </c>
      <c r="R10" s="26">
        <f t="shared" si="6"/>
        <v>1.04820828332683</v>
      </c>
      <c r="S10" s="97">
        <f t="shared" si="7"/>
        <v>1</v>
      </c>
      <c r="T10" s="26">
        <f t="shared" si="8"/>
        <v>1</v>
      </c>
      <c r="U10" s="24"/>
      <c r="V10" s="24"/>
      <c r="W10" s="26">
        <f t="shared" si="9"/>
        <v>1.0023754020545361</v>
      </c>
      <c r="X10" s="24">
        <f t="shared" si="10"/>
        <v>911.0718506139112</v>
      </c>
      <c r="Y10" s="26">
        <f t="shared" si="11"/>
        <v>1.13016901884588</v>
      </c>
      <c r="Z10" s="25">
        <f>SUM(НПn2015!N10)</f>
        <v>461.42514858387085</v>
      </c>
      <c r="AA10" s="26">
        <f t="shared" si="12"/>
        <v>0.36143295958796173</v>
      </c>
      <c r="AB10" s="26">
        <f t="shared" si="13"/>
        <v>0.3198043421479155</v>
      </c>
      <c r="AC10" s="24">
        <f>SUM(ПНД!K10)</f>
        <v>648.2</v>
      </c>
      <c r="AD10" s="35"/>
      <c r="AE10" s="25">
        <f t="shared" si="1"/>
        <v>8.63212231496045</v>
      </c>
      <c r="AF10" s="24">
        <f t="shared" si="14"/>
        <v>14745.929617373618</v>
      </c>
      <c r="AG10" s="30">
        <f t="shared" si="15"/>
        <v>14745.929617373615</v>
      </c>
      <c r="AH10" s="98"/>
      <c r="AI10" s="30">
        <f t="shared" si="16"/>
        <v>1383.882996172772</v>
      </c>
      <c r="AJ10" s="82">
        <f t="shared" si="2"/>
        <v>16129.812613546386</v>
      </c>
      <c r="AK10" s="82">
        <v>16129.8</v>
      </c>
      <c r="AL10" s="99">
        <v>19906.9</v>
      </c>
      <c r="AM10" s="99">
        <f t="shared" si="17"/>
        <v>-3777.087386453615</v>
      </c>
      <c r="AN10" s="100">
        <v>1137.1</v>
      </c>
    </row>
    <row r="11" spans="1:40" s="101" customFormat="1" ht="18.75">
      <c r="A11" s="19" t="s">
        <v>9</v>
      </c>
      <c r="B11" s="102">
        <v>1088</v>
      </c>
      <c r="C11" s="102">
        <v>1088</v>
      </c>
      <c r="D11" s="102">
        <v>262</v>
      </c>
      <c r="E11" s="26">
        <f t="shared" si="3"/>
        <v>1.0140479616779687</v>
      </c>
      <c r="F11" s="94">
        <v>16.96</v>
      </c>
      <c r="G11" s="26">
        <f t="shared" si="4"/>
        <v>0.7122022969859408</v>
      </c>
      <c r="H11" s="95"/>
      <c r="I11" s="24"/>
      <c r="J11" s="26">
        <f t="shared" si="0"/>
        <v>1.0801776960784313</v>
      </c>
      <c r="K11" s="94"/>
      <c r="L11" s="94"/>
      <c r="M11" s="94"/>
      <c r="N11" s="96">
        <f t="shared" si="5"/>
        <v>1.0190362563508466</v>
      </c>
      <c r="O11" s="94">
        <v>100.22</v>
      </c>
      <c r="P11" s="94">
        <v>4869.92</v>
      </c>
      <c r="Q11" s="94">
        <v>4.59</v>
      </c>
      <c r="R11" s="26">
        <f t="shared" si="6"/>
        <v>1.333254208174666</v>
      </c>
      <c r="S11" s="97">
        <f t="shared" si="7"/>
        <v>1</v>
      </c>
      <c r="T11" s="26">
        <f t="shared" si="8"/>
        <v>1</v>
      </c>
      <c r="U11" s="24"/>
      <c r="V11" s="24"/>
      <c r="W11" s="26">
        <f t="shared" si="9"/>
        <v>1.0164206786915468</v>
      </c>
      <c r="X11" s="24">
        <f t="shared" si="10"/>
        <v>1126.9172413410656</v>
      </c>
      <c r="Y11" s="26">
        <f t="shared" si="11"/>
        <v>1.058719980298319</v>
      </c>
      <c r="Z11" s="25">
        <f>SUM(НПn2015!N11)</f>
        <v>665.8169375915011</v>
      </c>
      <c r="AA11" s="26">
        <f t="shared" si="12"/>
        <v>0.39498413175037256</v>
      </c>
      <c r="AB11" s="26">
        <f t="shared" si="13"/>
        <v>0.3730770544625753</v>
      </c>
      <c r="AC11" s="24">
        <f>SUM(ПНД!K15)</f>
        <v>780.7</v>
      </c>
      <c r="AD11" s="35"/>
      <c r="AE11" s="25">
        <f t="shared" si="1"/>
        <v>8.63212231496045</v>
      </c>
      <c r="AF11" s="24">
        <f t="shared" si="14"/>
        <v>18122.547626478856</v>
      </c>
      <c r="AG11" s="30">
        <f t="shared" si="15"/>
        <v>18122.547626478852</v>
      </c>
      <c r="AH11" s="98"/>
      <c r="AI11" s="30">
        <f t="shared" si="16"/>
        <v>1827.262985237835</v>
      </c>
      <c r="AJ11" s="82">
        <f t="shared" si="2"/>
        <v>19949.810611716686</v>
      </c>
      <c r="AK11" s="82">
        <v>19949.8</v>
      </c>
      <c r="AL11" s="99">
        <v>22460.48</v>
      </c>
      <c r="AM11" s="99">
        <f t="shared" si="17"/>
        <v>-2510.6693882833133</v>
      </c>
      <c r="AN11" s="100">
        <v>1277.3</v>
      </c>
    </row>
    <row r="12" spans="1:40" s="101" customFormat="1" ht="18.75">
      <c r="A12" s="19" t="s">
        <v>10</v>
      </c>
      <c r="B12" s="102">
        <v>1288</v>
      </c>
      <c r="C12" s="102">
        <v>1288</v>
      </c>
      <c r="D12" s="102">
        <v>416</v>
      </c>
      <c r="E12" s="26">
        <f t="shared" si="3"/>
        <v>1.0812032704444408</v>
      </c>
      <c r="F12" s="94">
        <v>33.1</v>
      </c>
      <c r="G12" s="26">
        <f t="shared" si="4"/>
        <v>1.1741363896460475</v>
      </c>
      <c r="H12" s="95"/>
      <c r="I12" s="24"/>
      <c r="J12" s="26">
        <f t="shared" si="0"/>
        <v>1.0366718426501036</v>
      </c>
      <c r="K12" s="94"/>
      <c r="L12" s="94"/>
      <c r="M12" s="94"/>
      <c r="N12" s="96">
        <f t="shared" si="5"/>
        <v>1.0409262814827074</v>
      </c>
      <c r="O12" s="94">
        <v>100.22</v>
      </c>
      <c r="P12" s="94">
        <v>3455.32</v>
      </c>
      <c r="Q12" s="94">
        <v>5.2</v>
      </c>
      <c r="R12" s="26">
        <f t="shared" si="6"/>
        <v>1.04820828332683</v>
      </c>
      <c r="S12" s="97">
        <f t="shared" si="7"/>
        <v>1</v>
      </c>
      <c r="T12" s="26">
        <f t="shared" si="8"/>
        <v>1</v>
      </c>
      <c r="U12" s="24"/>
      <c r="V12" s="24"/>
      <c r="W12" s="26">
        <f t="shared" si="9"/>
        <v>1.0023754020545361</v>
      </c>
      <c r="X12" s="24">
        <f t="shared" si="10"/>
        <v>1343.8977830845463</v>
      </c>
      <c r="Y12" s="26">
        <f t="shared" si="11"/>
        <v>1.066518407730347</v>
      </c>
      <c r="Z12" s="25">
        <f>SUM(НПn2015!N12)</f>
        <v>1867.6380002702836</v>
      </c>
      <c r="AA12" s="26">
        <f t="shared" si="12"/>
        <v>0.9359023628010807</v>
      </c>
      <c r="AB12" s="26">
        <f t="shared" si="13"/>
        <v>0.8775304354969085</v>
      </c>
      <c r="AC12" s="24">
        <f>SUM(ПНД!K11)</f>
        <v>2035.5</v>
      </c>
      <c r="AD12" s="35"/>
      <c r="AE12" s="25">
        <f t="shared" si="1"/>
        <v>8.63212231496045</v>
      </c>
      <c r="AF12" s="24">
        <f t="shared" si="14"/>
        <v>20291.893007491362</v>
      </c>
      <c r="AG12" s="30">
        <f t="shared" si="15"/>
        <v>20291.89300749136</v>
      </c>
      <c r="AH12" s="98"/>
      <c r="AI12" s="30">
        <f t="shared" si="16"/>
        <v>2163.156916347731</v>
      </c>
      <c r="AJ12" s="82">
        <f t="shared" si="2"/>
        <v>22455.04992383909</v>
      </c>
      <c r="AK12" s="82">
        <v>22455</v>
      </c>
      <c r="AL12" s="99">
        <v>26708.68</v>
      </c>
      <c r="AM12" s="99">
        <f t="shared" si="17"/>
        <v>-4253.630076160909</v>
      </c>
      <c r="AN12" s="100">
        <v>1557.5</v>
      </c>
    </row>
    <row r="13" spans="1:40" s="101" customFormat="1" ht="18.75">
      <c r="A13" s="19" t="s">
        <v>11</v>
      </c>
      <c r="B13" s="102">
        <v>792</v>
      </c>
      <c r="C13" s="102">
        <v>792</v>
      </c>
      <c r="D13" s="102">
        <v>0</v>
      </c>
      <c r="E13" s="26">
        <f t="shared" si="3"/>
        <v>0.8172475424486149</v>
      </c>
      <c r="F13" s="94">
        <v>14.14</v>
      </c>
      <c r="G13" s="26">
        <f t="shared" si="4"/>
        <v>0.8157003437653919</v>
      </c>
      <c r="H13" s="95"/>
      <c r="I13" s="24"/>
      <c r="J13" s="26">
        <f t="shared" si="0"/>
        <v>1.1848905723905723</v>
      </c>
      <c r="K13" s="94"/>
      <c r="L13" s="94"/>
      <c r="M13" s="94"/>
      <c r="N13" s="96">
        <f t="shared" si="5"/>
        <v>0.990545353975248</v>
      </c>
      <c r="O13" s="94">
        <v>100.22</v>
      </c>
      <c r="P13" s="94">
        <v>4079.41</v>
      </c>
      <c r="Q13" s="94">
        <v>5.2</v>
      </c>
      <c r="R13" s="26">
        <f t="shared" si="6"/>
        <v>1.1822109276475277</v>
      </c>
      <c r="S13" s="97">
        <f t="shared" si="7"/>
        <v>1</v>
      </c>
      <c r="T13" s="26">
        <f t="shared" si="8"/>
        <v>1</v>
      </c>
      <c r="U13" s="24"/>
      <c r="V13" s="24"/>
      <c r="W13" s="26">
        <f t="shared" si="9"/>
        <v>1.0089782124984317</v>
      </c>
      <c r="X13" s="24">
        <f t="shared" si="10"/>
        <v>791.555435076837</v>
      </c>
      <c r="Y13" s="26">
        <f t="shared" si="11"/>
        <v>1.0215841232008893</v>
      </c>
      <c r="Z13" s="25">
        <f>SUM(НПn2015!N13)</f>
        <v>818.2514249844821</v>
      </c>
      <c r="AA13" s="26">
        <f t="shared" si="12"/>
        <v>0.6668302511627998</v>
      </c>
      <c r="AB13" s="26">
        <f t="shared" si="13"/>
        <v>0.6527414003591274</v>
      </c>
      <c r="AC13" s="24">
        <f>SUM(ПНД!K8)</f>
        <v>1057.2</v>
      </c>
      <c r="AD13" s="35"/>
      <c r="AE13" s="25">
        <f t="shared" si="1"/>
        <v>8.63212231496045</v>
      </c>
      <c r="AF13" s="24">
        <f t="shared" si="14"/>
        <v>12298.380146781079</v>
      </c>
      <c r="AG13" s="30">
        <f t="shared" si="15"/>
        <v>12298.380146781075</v>
      </c>
      <c r="AH13" s="98"/>
      <c r="AI13" s="30">
        <f t="shared" si="16"/>
        <v>1330.1399671951885</v>
      </c>
      <c r="AJ13" s="82">
        <f t="shared" si="2"/>
        <v>13628.520113976265</v>
      </c>
      <c r="AK13" s="82">
        <v>13628.5</v>
      </c>
      <c r="AL13" s="99">
        <v>17054.59</v>
      </c>
      <c r="AM13" s="99">
        <f t="shared" si="17"/>
        <v>-3426.0698860237353</v>
      </c>
      <c r="AN13" s="100">
        <v>977.5</v>
      </c>
    </row>
    <row r="14" spans="1:40" s="101" customFormat="1" ht="18.75">
      <c r="A14" s="19" t="s">
        <v>12</v>
      </c>
      <c r="B14" s="102">
        <v>284</v>
      </c>
      <c r="C14" s="102">
        <v>284</v>
      </c>
      <c r="D14" s="102">
        <v>284</v>
      </c>
      <c r="E14" s="26">
        <f t="shared" si="3"/>
        <v>1.6344950848972297</v>
      </c>
      <c r="F14" s="94">
        <v>5.08</v>
      </c>
      <c r="G14" s="26">
        <f t="shared" si="4"/>
        <v>0.8172440920503036</v>
      </c>
      <c r="H14" s="95"/>
      <c r="I14" s="24"/>
      <c r="J14" s="26">
        <f t="shared" si="0"/>
        <v>1.8733568075117368</v>
      </c>
      <c r="K14" s="94"/>
      <c r="L14" s="94"/>
      <c r="M14" s="94"/>
      <c r="N14" s="96">
        <f t="shared" si="5"/>
        <v>1.6997103157534792</v>
      </c>
      <c r="O14" s="94">
        <v>0</v>
      </c>
      <c r="P14" s="94">
        <v>2783.11</v>
      </c>
      <c r="Q14" s="94">
        <v>5.2</v>
      </c>
      <c r="R14" s="26">
        <f t="shared" si="6"/>
        <v>0.7569269082091747</v>
      </c>
      <c r="S14" s="97">
        <f t="shared" si="7"/>
        <v>1</v>
      </c>
      <c r="T14" s="26">
        <f t="shared" si="8"/>
        <v>1</v>
      </c>
      <c r="U14" s="24"/>
      <c r="V14" s="24"/>
      <c r="W14" s="26">
        <f t="shared" si="9"/>
        <v>0.9880228815092231</v>
      </c>
      <c r="X14" s="24">
        <f t="shared" si="10"/>
        <v>476.93616222808396</v>
      </c>
      <c r="Y14" s="26">
        <f t="shared" si="11"/>
        <v>1.7165635794770333</v>
      </c>
      <c r="Z14" s="25">
        <f>SUM(НПn2015!N14)</f>
        <v>269.22132864415755</v>
      </c>
      <c r="AA14" s="26">
        <f t="shared" si="12"/>
        <v>0.6118498080153317</v>
      </c>
      <c r="AB14" s="26">
        <f t="shared" si="13"/>
        <v>0.3564387683220783</v>
      </c>
      <c r="AC14" s="24">
        <f>SUM(ПНД!K16)</f>
        <v>364.2</v>
      </c>
      <c r="AD14" s="35"/>
      <c r="AE14" s="25">
        <f t="shared" si="1"/>
        <v>8.63212231496045</v>
      </c>
      <c r="AF14" s="24">
        <f t="shared" si="14"/>
        <v>7685.312089844673</v>
      </c>
      <c r="AG14" s="30">
        <f t="shared" si="15"/>
        <v>7685.312089844671</v>
      </c>
      <c r="AH14" s="98"/>
      <c r="AI14" s="30">
        <f t="shared" si="16"/>
        <v>476.9693821760525</v>
      </c>
      <c r="AJ14" s="82">
        <f t="shared" si="2"/>
        <v>8162.281472020724</v>
      </c>
      <c r="AK14" s="82">
        <v>8162.3</v>
      </c>
      <c r="AL14" s="99">
        <v>10292.52</v>
      </c>
      <c r="AM14" s="99">
        <f t="shared" si="17"/>
        <v>-2130.238527979276</v>
      </c>
      <c r="AN14" s="100">
        <v>603.4</v>
      </c>
    </row>
    <row r="15" spans="1:40" s="110" customFormat="1" ht="18.75">
      <c r="A15" s="19" t="s">
        <v>13</v>
      </c>
      <c r="B15" s="103">
        <f>SUM(B3:B14)</f>
        <v>18290</v>
      </c>
      <c r="C15" s="103">
        <f>SUM(C3:C14)</f>
        <v>18290</v>
      </c>
      <c r="D15" s="103">
        <f>SUM(D3:D14)</f>
        <v>4090</v>
      </c>
      <c r="E15" s="104">
        <f t="shared" si="3"/>
        <v>1</v>
      </c>
      <c r="F15" s="105">
        <f>SUM(F3:F14)</f>
        <v>400.31999999999994</v>
      </c>
      <c r="G15" s="104">
        <f t="shared" si="4"/>
        <v>1</v>
      </c>
      <c r="H15" s="103">
        <f>B15/12</f>
        <v>1524.1666666666667</v>
      </c>
      <c r="I15" s="106">
        <v>0.8</v>
      </c>
      <c r="J15" s="104">
        <f t="shared" si="0"/>
        <v>0.8166666666666667</v>
      </c>
      <c r="K15" s="105">
        <f>SUM('а1 а2 а3'!O17)</f>
        <v>0.5135150124480378</v>
      </c>
      <c r="L15" s="105">
        <f>SUM('а1 а2 а3'!O24)</f>
        <v>0.0324987141435525</v>
      </c>
      <c r="M15" s="105">
        <f>SUM('а1 а2 а3'!O29)</f>
        <v>0.4350909928469671</v>
      </c>
      <c r="N15" s="96">
        <f>SUM(K$15*J15+L$15*G15+M$15*E15)</f>
        <v>0.8869603004897504</v>
      </c>
      <c r="O15" s="105">
        <f>SUM(O3:O14)/12</f>
        <v>136.40333333333334</v>
      </c>
      <c r="P15" s="105">
        <f>SUM(P3:P14)/12</f>
        <v>3027.2425000000003</v>
      </c>
      <c r="Q15" s="105">
        <f>SUM(Q3:Q14)/12</f>
        <v>4.8950000000000005</v>
      </c>
      <c r="R15" s="104">
        <f t="shared" si="6"/>
        <v>1</v>
      </c>
      <c r="S15" s="107">
        <f t="shared" si="7"/>
        <v>1</v>
      </c>
      <c r="T15" s="104">
        <f t="shared" si="8"/>
        <v>1</v>
      </c>
      <c r="U15" s="105">
        <f>SUM('q1q2'!O26)</f>
        <v>0.4772492775168167</v>
      </c>
      <c r="V15" s="105">
        <f>SUM('q1q2'!O27)</f>
        <v>0.04927373245033542</v>
      </c>
      <c r="W15" s="104">
        <f t="shared" si="9"/>
        <v>1</v>
      </c>
      <c r="X15" s="27">
        <f>SUM(X3:X14)</f>
        <v>17893.51758116637</v>
      </c>
      <c r="Y15" s="104">
        <f t="shared" si="11"/>
        <v>0.9066134605658732</v>
      </c>
      <c r="Z15" s="28">
        <f>SUM(Z3:Z14)</f>
        <v>28337.40000000001</v>
      </c>
      <c r="AA15" s="26">
        <f t="shared" si="12"/>
        <v>1</v>
      </c>
      <c r="AB15" s="26">
        <f t="shared" si="13"/>
        <v>1.1030059043860196</v>
      </c>
      <c r="AC15" s="27">
        <f>SUM(AC3:AC14)</f>
        <v>34841.2</v>
      </c>
      <c r="AD15" s="72">
        <v>265912.3</v>
      </c>
      <c r="AE15" s="28">
        <f t="shared" si="1"/>
        <v>8.63212231496045</v>
      </c>
      <c r="AF15" s="27">
        <f>SUM(AF3:AF14)</f>
        <v>265912.30000000005</v>
      </c>
      <c r="AG15" s="31">
        <f>SUM(AG3:AG14)</f>
        <v>265912.3</v>
      </c>
      <c r="AH15" s="37">
        <v>30717.5</v>
      </c>
      <c r="AI15" s="31">
        <f>SUM(AI3:AI14)</f>
        <v>30717.5</v>
      </c>
      <c r="AJ15" s="83">
        <f>SUM(AJ3:AJ14)</f>
        <v>296629.8</v>
      </c>
      <c r="AK15" s="83">
        <f>SUM(AK3:AK14)</f>
        <v>296629.8</v>
      </c>
      <c r="AL15" s="108">
        <v>338214</v>
      </c>
      <c r="AM15" s="108">
        <f>SUM(AJ15-AL15)</f>
        <v>-41584.20000000001</v>
      </c>
      <c r="AN15" s="109">
        <f>SUM(AN3:AN14)</f>
        <v>20000.000000000004</v>
      </c>
    </row>
    <row r="16" ht="23.25" customHeight="1"/>
    <row r="17" spans="15:17" s="73" customFormat="1" ht="18.75">
      <c r="O17" s="86"/>
      <c r="P17" s="86"/>
      <c r="Q17" s="86"/>
    </row>
    <row r="18" spans="4:32" ht="12.75" customHeight="1"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W18" s="144" t="s">
        <v>135</v>
      </c>
      <c r="X18" s="144"/>
      <c r="Y18" s="144"/>
      <c r="Z18" s="144"/>
      <c r="AA18" s="144"/>
      <c r="AB18" s="144"/>
      <c r="AC18" s="144"/>
      <c r="AD18" s="144"/>
      <c r="AE18" s="144"/>
      <c r="AF18" s="144"/>
    </row>
    <row r="19" spans="4:32" s="73" customFormat="1" ht="18.75"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</row>
    <row r="21" s="73" customFormat="1" ht="18.75"/>
  </sheetData>
  <sheetProtection/>
  <mergeCells count="2">
    <mergeCell ref="A1:AJ1"/>
    <mergeCell ref="W18:AF19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18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="110" zoomScaleNormal="110" zoomScalePageLayoutView="0" workbookViewId="0" topLeftCell="A1">
      <pane xSplit="1" topLeftCell="U1" activePane="topRight" state="frozen"/>
      <selection pane="topLeft" activeCell="A1" sqref="A1"/>
      <selection pane="topRight" activeCell="AJ2" sqref="B1:AJ16384"/>
    </sheetView>
  </sheetViews>
  <sheetFormatPr defaultColWidth="9.140625" defaultRowHeight="15"/>
  <cols>
    <col min="1" max="1" width="26.28125" style="92" customWidth="1"/>
    <col min="2" max="2" width="12.57421875" style="92" customWidth="1"/>
    <col min="3" max="3" width="12.8515625" style="92" customWidth="1"/>
    <col min="4" max="4" width="14.421875" style="92" customWidth="1"/>
    <col min="5" max="6" width="13.421875" style="92" customWidth="1"/>
    <col min="7" max="7" width="12.8515625" style="23" customWidth="1"/>
    <col min="8" max="8" width="13.7109375" style="23" customWidth="1"/>
    <col min="9" max="9" width="18.140625" style="23" customWidth="1"/>
    <col min="10" max="10" width="13.57421875" style="23" customWidth="1"/>
    <col min="11" max="12" width="16.28125" style="23" customWidth="1"/>
    <col min="13" max="13" width="15.421875" style="23" customWidth="1"/>
    <col min="14" max="14" width="13.57421875" style="23" customWidth="1"/>
    <col min="15" max="15" width="15.28125" style="111" customWidth="1"/>
    <col min="16" max="16" width="15.421875" style="111" customWidth="1"/>
    <col min="17" max="17" width="15.28125" style="111" customWidth="1"/>
    <col min="18" max="29" width="11.7109375" style="23" customWidth="1"/>
    <col min="30" max="31" width="16.28125" style="23" customWidth="1"/>
    <col min="32" max="32" width="18.421875" style="23" customWidth="1"/>
    <col min="33" max="33" width="13.7109375" style="23" customWidth="1"/>
    <col min="34" max="34" width="17.7109375" style="23" customWidth="1"/>
    <col min="35" max="35" width="14.7109375" style="112" customWidth="1"/>
    <col min="36" max="37" width="14.57421875" style="112" customWidth="1"/>
    <col min="38" max="16384" width="9.140625" style="92" customWidth="1"/>
  </cols>
  <sheetData>
    <row r="1" spans="1:37" ht="24.75" customHeight="1">
      <c r="A1" s="145" t="s">
        <v>129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92"/>
    </row>
    <row r="2" spans="1:37" s="93" customFormat="1" ht="249" customHeight="1">
      <c r="A2" s="16" t="s">
        <v>0</v>
      </c>
      <c r="B2" s="17" t="s">
        <v>142</v>
      </c>
      <c r="C2" s="17" t="s">
        <v>143</v>
      </c>
      <c r="D2" s="17" t="s">
        <v>16</v>
      </c>
      <c r="E2" s="21" t="s">
        <v>17</v>
      </c>
      <c r="F2" s="8" t="s">
        <v>60</v>
      </c>
      <c r="G2" s="21" t="s">
        <v>18</v>
      </c>
      <c r="H2" s="8" t="s">
        <v>19</v>
      </c>
      <c r="I2" s="8" t="s">
        <v>147</v>
      </c>
      <c r="J2" s="21" t="s">
        <v>21</v>
      </c>
      <c r="K2" s="18" t="s">
        <v>22</v>
      </c>
      <c r="L2" s="18" t="s">
        <v>23</v>
      </c>
      <c r="M2" s="18" t="s">
        <v>24</v>
      </c>
      <c r="N2" s="21" t="s">
        <v>34</v>
      </c>
      <c r="O2" s="9" t="s">
        <v>25</v>
      </c>
      <c r="P2" s="9" t="s">
        <v>27</v>
      </c>
      <c r="Q2" s="9" t="s">
        <v>26</v>
      </c>
      <c r="R2" s="21" t="s">
        <v>28</v>
      </c>
      <c r="S2" s="8" t="s">
        <v>29</v>
      </c>
      <c r="T2" s="21" t="s">
        <v>30</v>
      </c>
      <c r="U2" s="8" t="s">
        <v>31</v>
      </c>
      <c r="V2" s="8" t="s">
        <v>32</v>
      </c>
      <c r="W2" s="21" t="s">
        <v>33</v>
      </c>
      <c r="X2" s="14" t="s">
        <v>35</v>
      </c>
      <c r="Y2" s="20" t="s">
        <v>51</v>
      </c>
      <c r="Z2" s="21" t="s">
        <v>48</v>
      </c>
      <c r="AA2" s="20" t="s">
        <v>49</v>
      </c>
      <c r="AB2" s="21" t="s">
        <v>52</v>
      </c>
      <c r="AC2" s="14" t="s">
        <v>53</v>
      </c>
      <c r="AD2" s="22" t="s">
        <v>50</v>
      </c>
      <c r="AE2" s="21" t="s">
        <v>54</v>
      </c>
      <c r="AF2" s="8" t="s">
        <v>55</v>
      </c>
      <c r="AG2" s="29" t="s">
        <v>56</v>
      </c>
      <c r="AH2" s="22" t="s">
        <v>57</v>
      </c>
      <c r="AI2" s="32" t="s">
        <v>58</v>
      </c>
      <c r="AJ2" s="33" t="s">
        <v>59</v>
      </c>
      <c r="AK2" s="33" t="s">
        <v>59</v>
      </c>
    </row>
    <row r="3" spans="1:37" s="101" customFormat="1" ht="18.75">
      <c r="A3" s="19" t="s">
        <v>1</v>
      </c>
      <c r="B3" s="102">
        <v>5129</v>
      </c>
      <c r="C3" s="102">
        <v>5129</v>
      </c>
      <c r="D3" s="102">
        <v>513</v>
      </c>
      <c r="E3" s="26">
        <f>(1+D3/B3)/(1+D$15/B$15)</f>
        <v>0.8989882305508062</v>
      </c>
      <c r="F3" s="94">
        <v>126.57</v>
      </c>
      <c r="G3" s="26">
        <f>(F3/B3)/(F$15/B$15)</f>
        <v>1.127468711324565</v>
      </c>
      <c r="H3" s="95"/>
      <c r="I3" s="24"/>
      <c r="J3" s="26">
        <f aca="true" t="shared" si="0" ref="J3:J15">SUM(I$15+(1-I$15)*H$15/B3)</f>
        <v>0.8594332878403848</v>
      </c>
      <c r="K3" s="94"/>
      <c r="L3" s="94"/>
      <c r="M3" s="94"/>
      <c r="N3" s="96">
        <f>SUM(K$15*J3+L$15*G3+M$15*E3)</f>
        <v>0.8691148606468382</v>
      </c>
      <c r="O3" s="94">
        <v>80.92</v>
      </c>
      <c r="P3" s="94">
        <v>1860.96</v>
      </c>
      <c r="Q3" s="94">
        <v>5.05</v>
      </c>
      <c r="R3" s="26">
        <f>SUM(0.2*O3/O$15+0.65*P3/P$15+0.15*Q3/Q$15)</f>
        <v>0.6320069578146976</v>
      </c>
      <c r="S3" s="113">
        <f>SUM(C3/B3)</f>
        <v>1</v>
      </c>
      <c r="T3" s="26">
        <f>SUM((1+0.25*S3)/(1+0.25*S$15))</f>
        <v>1</v>
      </c>
      <c r="U3" s="24"/>
      <c r="V3" s="24"/>
      <c r="W3" s="26">
        <f>SUM(U$15*T3+V$15*R3+1-U$15-V$15)</f>
        <v>0.9818676092957763</v>
      </c>
      <c r="X3" s="24">
        <f>SUM(W3*N3*B3)</f>
        <v>4376.861541358764</v>
      </c>
      <c r="Y3" s="26">
        <f>SUM(W3*N3*B$15/X$15)</f>
        <v>0.8722619304689638</v>
      </c>
      <c r="Z3" s="25">
        <f>SUM(НПn2016!N3)</f>
        <v>13916.712731980519</v>
      </c>
      <c r="AA3" s="26">
        <f>(Z3/B3)/(Z$15/B$15)</f>
        <v>1.6882961763686892</v>
      </c>
      <c r="AB3" s="26">
        <f>SUM(AA3/Y3)</f>
        <v>1.9355380733640317</v>
      </c>
      <c r="AC3" s="24">
        <f>SUM(ПНД!L5)</f>
        <v>10548.4</v>
      </c>
      <c r="AD3" s="35"/>
      <c r="AE3" s="25">
        <f aca="true" t="shared" si="1" ref="AE3:AE15">SUM(AC$15+AD$15)/AC$15</f>
        <v>10.433510755289667</v>
      </c>
      <c r="AF3" s="24">
        <f>SUM(AC$15/B$15)*(AE$15-AB3)*Y3*B3</f>
        <v>61430.11760498884</v>
      </c>
      <c r="AG3" s="30">
        <f>SUM(AD$15*AF3/AF$15)</f>
        <v>61430.11760498884</v>
      </c>
      <c r="AH3" s="98"/>
      <c r="AI3" s="30">
        <f>SUM(AH$15*B3/B$15)</f>
        <v>8970.281683980316</v>
      </c>
      <c r="AJ3" s="82">
        <f>SUM(AI3+AG3)</f>
        <v>70400.39928896916</v>
      </c>
      <c r="AK3" s="82">
        <v>70400.4</v>
      </c>
    </row>
    <row r="4" spans="1:37" s="101" customFormat="1" ht="18.75">
      <c r="A4" s="19" t="s">
        <v>2</v>
      </c>
      <c r="B4" s="102">
        <v>1058</v>
      </c>
      <c r="C4" s="102">
        <v>1058</v>
      </c>
      <c r="D4" s="102">
        <v>0</v>
      </c>
      <c r="E4" s="26">
        <f aca="true" t="shared" si="2" ref="E4:E15">(1+D4/B4)/(1+D$15/B$15)</f>
        <v>0.8172475424486149</v>
      </c>
      <c r="F4" s="94">
        <v>13.42</v>
      </c>
      <c r="G4" s="26">
        <f aca="true" t="shared" si="3" ref="G4:G15">(F4/B4)/(F$15/B$15)</f>
        <v>0.5795264544508062</v>
      </c>
      <c r="H4" s="95"/>
      <c r="I4" s="24"/>
      <c r="J4" s="26">
        <f t="shared" si="0"/>
        <v>1.088122243226213</v>
      </c>
      <c r="K4" s="94"/>
      <c r="L4" s="94"/>
      <c r="M4" s="94"/>
      <c r="N4" s="96">
        <f aca="true" t="shared" si="4" ref="N4:N14">SUM(K$15*J4+L$15*G4+M$15*E4)</f>
        <v>0.9331780165028305</v>
      </c>
      <c r="O4" s="94">
        <v>105.74</v>
      </c>
      <c r="P4" s="94">
        <v>0</v>
      </c>
      <c r="Q4" s="94">
        <v>5.05</v>
      </c>
      <c r="R4" s="26">
        <f aca="true" t="shared" si="5" ref="R4:R15">SUM(0.2*O4/O$15+0.65*P4/P$15+0.15*Q4/Q$15)</f>
        <v>0.2877522132146305</v>
      </c>
      <c r="S4" s="113">
        <f aca="true" t="shared" si="6" ref="S4:S15">SUM(C4/B4)</f>
        <v>1</v>
      </c>
      <c r="T4" s="26">
        <f aca="true" t="shared" si="7" ref="T4:T15">SUM((1+0.25*S4)/(1+0.25*S$15))</f>
        <v>1</v>
      </c>
      <c r="U4" s="24"/>
      <c r="V4" s="24"/>
      <c r="W4" s="26">
        <f aca="true" t="shared" si="8" ref="W4:W15">SUM(U$15*T4+V$15*R4+1-U$15-V$15)</f>
        <v>0.9649048931155941</v>
      </c>
      <c r="X4" s="24">
        <f aca="true" t="shared" si="9" ref="X4:X14">SUM(W4*N4*B4)</f>
        <v>952.6528602592319</v>
      </c>
      <c r="Y4" s="26">
        <f aca="true" t="shared" si="10" ref="Y4:Y15">SUM(W4*N4*B$15/X$15)</f>
        <v>0.9203771269330506</v>
      </c>
      <c r="Z4" s="25">
        <f>SUM(НПn2016!N4)</f>
        <v>2651.6678865325375</v>
      </c>
      <c r="AA4" s="26">
        <f aca="true" t="shared" si="11" ref="AA4:AA15">(Z4/B4)/(Z$15/B$15)</f>
        <v>1.5594739863145382</v>
      </c>
      <c r="AB4" s="26">
        <f aca="true" t="shared" si="12" ref="AB4:AB15">SUM(AA4/Y4)</f>
        <v>1.6943858562751704</v>
      </c>
      <c r="AC4" s="24">
        <f>SUM(ПНД!L6)</f>
        <v>3962.7</v>
      </c>
      <c r="AD4" s="35"/>
      <c r="AE4" s="25">
        <f t="shared" si="1"/>
        <v>10.433510755289667</v>
      </c>
      <c r="AF4" s="24">
        <f aca="true" t="shared" si="13" ref="AF4:AF14">SUM(AC$15/B$15)*(AE$15-AB4)*Y4*B4</f>
        <v>13750.099152087927</v>
      </c>
      <c r="AG4" s="30">
        <f aca="true" t="shared" si="14" ref="AG4:AG14">SUM(AD$15*AF4/AF$15)</f>
        <v>13750.099152087927</v>
      </c>
      <c r="AH4" s="98"/>
      <c r="AI4" s="30">
        <f aca="true" t="shared" si="15" ref="AI4:AI14">SUM(AH$15*B4/B$15)</f>
        <v>1850.3720065609623</v>
      </c>
      <c r="AJ4" s="82">
        <f aca="true" t="shared" si="16" ref="AJ4:AK14">SUM(AI4+AG4)</f>
        <v>15600.471158648888</v>
      </c>
      <c r="AK4" s="82">
        <v>15600.5</v>
      </c>
    </row>
    <row r="5" spans="1:37" s="101" customFormat="1" ht="18.75">
      <c r="A5" s="19" t="s">
        <v>3</v>
      </c>
      <c r="B5" s="102">
        <v>1371</v>
      </c>
      <c r="C5" s="102">
        <v>1371</v>
      </c>
      <c r="D5" s="102">
        <v>592</v>
      </c>
      <c r="E5" s="26">
        <f t="shared" si="2"/>
        <v>1.1701363426890088</v>
      </c>
      <c r="F5" s="94">
        <v>31.77</v>
      </c>
      <c r="G5" s="26">
        <f t="shared" si="3"/>
        <v>1.0587323357943843</v>
      </c>
      <c r="H5" s="95"/>
      <c r="I5" s="24"/>
      <c r="J5" s="26">
        <f t="shared" si="0"/>
        <v>1.0223437879893023</v>
      </c>
      <c r="K5" s="94"/>
      <c r="L5" s="94"/>
      <c r="M5" s="94"/>
      <c r="N5" s="96">
        <f t="shared" si="4"/>
        <v>1.0685121056578977</v>
      </c>
      <c r="O5" s="94">
        <v>308.92</v>
      </c>
      <c r="P5" s="94">
        <v>2668.4</v>
      </c>
      <c r="Q5" s="94">
        <v>5.05</v>
      </c>
      <c r="R5" s="26">
        <f t="shared" si="5"/>
        <v>1.113204433697213</v>
      </c>
      <c r="S5" s="113">
        <f t="shared" si="6"/>
        <v>1</v>
      </c>
      <c r="T5" s="26">
        <f t="shared" si="7"/>
        <v>1</v>
      </c>
      <c r="U5" s="24"/>
      <c r="V5" s="24"/>
      <c r="W5" s="26">
        <f t="shared" si="8"/>
        <v>1.0055780049781884</v>
      </c>
      <c r="X5" s="24">
        <f t="shared" si="9"/>
        <v>1473.1014842299437</v>
      </c>
      <c r="Y5" s="26">
        <f t="shared" si="10"/>
        <v>1.0982773354172846</v>
      </c>
      <c r="Z5" s="25">
        <f>SUM(НПn2016!N5)</f>
        <v>2006.767530288343</v>
      </c>
      <c r="AA5" s="26">
        <f t="shared" si="11"/>
        <v>0.9107607037287271</v>
      </c>
      <c r="AB5" s="26">
        <f t="shared" si="12"/>
        <v>0.8292629505849617</v>
      </c>
      <c r="AC5" s="24">
        <f>SUM(ПНД!L7)</f>
        <v>2765.1000000000004</v>
      </c>
      <c r="AD5" s="35"/>
      <c r="AE5" s="25">
        <f t="shared" si="1"/>
        <v>10.433510755289667</v>
      </c>
      <c r="AF5" s="24">
        <f t="shared" si="13"/>
        <v>23366.799492430382</v>
      </c>
      <c r="AG5" s="30">
        <f t="shared" si="14"/>
        <v>23366.799492430382</v>
      </c>
      <c r="AH5" s="98"/>
      <c r="AI5" s="30">
        <f t="shared" si="15"/>
        <v>2397.788299617277</v>
      </c>
      <c r="AJ5" s="82">
        <f t="shared" si="16"/>
        <v>25764.58779204766</v>
      </c>
      <c r="AK5" s="82">
        <v>25764.6</v>
      </c>
    </row>
    <row r="6" spans="1:37" s="101" customFormat="1" ht="18.75">
      <c r="A6" s="19" t="s">
        <v>4</v>
      </c>
      <c r="B6" s="102">
        <v>810</v>
      </c>
      <c r="C6" s="102">
        <v>810</v>
      </c>
      <c r="D6" s="102">
        <v>52</v>
      </c>
      <c r="E6" s="26">
        <f t="shared" si="2"/>
        <v>0.8697128167786494</v>
      </c>
      <c r="F6" s="94">
        <v>19.83</v>
      </c>
      <c r="G6" s="26">
        <f t="shared" si="3"/>
        <v>1.1185209240015397</v>
      </c>
      <c r="H6" s="95"/>
      <c r="I6" s="24"/>
      <c r="J6" s="26">
        <f t="shared" si="0"/>
        <v>1.1763374485596707</v>
      </c>
      <c r="K6" s="94"/>
      <c r="L6" s="94"/>
      <c r="M6" s="94"/>
      <c r="N6" s="96">
        <f t="shared" si="4"/>
        <v>1.0188216442568754</v>
      </c>
      <c r="O6" s="94">
        <v>308.92</v>
      </c>
      <c r="P6" s="94">
        <v>3420.13</v>
      </c>
      <c r="Q6" s="94">
        <v>5.71</v>
      </c>
      <c r="R6" s="26">
        <f t="shared" si="5"/>
        <v>1.2846004122525028</v>
      </c>
      <c r="S6" s="113">
        <f t="shared" si="6"/>
        <v>1</v>
      </c>
      <c r="T6" s="26">
        <f t="shared" si="7"/>
        <v>1</v>
      </c>
      <c r="U6" s="24"/>
      <c r="V6" s="24"/>
      <c r="W6" s="26">
        <f t="shared" si="8"/>
        <v>1.014023324568585</v>
      </c>
      <c r="X6" s="24">
        <f t="shared" si="9"/>
        <v>836.8182177899491</v>
      </c>
      <c r="Y6" s="26">
        <f t="shared" si="10"/>
        <v>1.055997564478334</v>
      </c>
      <c r="Z6" s="25">
        <f>SUM(НПn2016!N6)</f>
        <v>629.045041858399</v>
      </c>
      <c r="AA6" s="26">
        <f t="shared" si="11"/>
        <v>0.4832161023900931</v>
      </c>
      <c r="AB6" s="26">
        <f t="shared" si="12"/>
        <v>0.45759206142563724</v>
      </c>
      <c r="AC6" s="24">
        <f>SUM(ПНД!L13)</f>
        <v>615.5</v>
      </c>
      <c r="AD6" s="35"/>
      <c r="AE6" s="25">
        <f t="shared" si="1"/>
        <v>10.433510755289667</v>
      </c>
      <c r="AF6" s="24">
        <f t="shared" si="13"/>
        <v>13787.554275611978</v>
      </c>
      <c r="AG6" s="30">
        <f t="shared" si="14"/>
        <v>13787.554275611978</v>
      </c>
      <c r="AH6" s="98"/>
      <c r="AI6" s="30">
        <f t="shared" si="15"/>
        <v>1416.6364133406232</v>
      </c>
      <c r="AJ6" s="82">
        <f t="shared" si="16"/>
        <v>15204.1906889526</v>
      </c>
      <c r="AK6" s="82">
        <v>15204.2</v>
      </c>
    </row>
    <row r="7" spans="1:37" s="101" customFormat="1" ht="18.75">
      <c r="A7" s="19" t="s">
        <v>5</v>
      </c>
      <c r="B7" s="102">
        <v>1011</v>
      </c>
      <c r="C7" s="102">
        <v>1011</v>
      </c>
      <c r="D7" s="102">
        <v>295</v>
      </c>
      <c r="E7" s="26">
        <f t="shared" si="2"/>
        <v>1.0557124534499418</v>
      </c>
      <c r="F7" s="94">
        <v>23.04</v>
      </c>
      <c r="G7" s="26">
        <f t="shared" si="3"/>
        <v>1.0412085761657737</v>
      </c>
      <c r="H7" s="95"/>
      <c r="I7" s="24"/>
      <c r="J7" s="26">
        <f t="shared" si="0"/>
        <v>1.1015166501813387</v>
      </c>
      <c r="K7" s="94"/>
      <c r="L7" s="94"/>
      <c r="M7" s="94"/>
      <c r="N7" s="96">
        <f t="shared" si="4"/>
        <v>1.0588142557426605</v>
      </c>
      <c r="O7" s="94">
        <v>196.86</v>
      </c>
      <c r="P7" s="94">
        <v>4303.78</v>
      </c>
      <c r="Q7" s="94">
        <v>5.71</v>
      </c>
      <c r="R7" s="26">
        <f t="shared" si="5"/>
        <v>1.3087074597076218</v>
      </c>
      <c r="S7" s="113">
        <f t="shared" si="6"/>
        <v>1</v>
      </c>
      <c r="T7" s="26">
        <f t="shared" si="7"/>
        <v>1</v>
      </c>
      <c r="U7" s="24"/>
      <c r="V7" s="24"/>
      <c r="W7" s="26">
        <f t="shared" si="8"/>
        <v>1.015211168775056</v>
      </c>
      <c r="X7" s="24">
        <f t="shared" si="9"/>
        <v>1086.7441787271675</v>
      </c>
      <c r="Y7" s="26">
        <f t="shared" si="10"/>
        <v>1.0987350427692617</v>
      </c>
      <c r="Z7" s="25">
        <f>SUM(НПn2016!N7)</f>
        <v>860.327116252921</v>
      </c>
      <c r="AA7" s="26">
        <f t="shared" si="11"/>
        <v>0.529489227961677</v>
      </c>
      <c r="AB7" s="26">
        <f t="shared" si="12"/>
        <v>0.4819080190863373</v>
      </c>
      <c r="AC7" s="24">
        <f>SUM(ПНД!L9)</f>
        <v>1558.2</v>
      </c>
      <c r="AD7" s="35"/>
      <c r="AE7" s="25">
        <f t="shared" si="1"/>
        <v>10.433510755289667</v>
      </c>
      <c r="AF7" s="24">
        <f t="shared" si="13"/>
        <v>17861.731685222334</v>
      </c>
      <c r="AG7" s="30">
        <f t="shared" si="14"/>
        <v>17861.731685222334</v>
      </c>
      <c r="AH7" s="98"/>
      <c r="AI7" s="30">
        <f t="shared" si="15"/>
        <v>1768.1721159103336</v>
      </c>
      <c r="AJ7" s="82">
        <f t="shared" si="16"/>
        <v>19629.903801132667</v>
      </c>
      <c r="AK7" s="82">
        <f t="shared" si="16"/>
        <v>19629.903801132667</v>
      </c>
    </row>
    <row r="8" spans="1:37" s="101" customFormat="1" ht="18.75">
      <c r="A8" s="19" t="s">
        <v>6</v>
      </c>
      <c r="B8" s="102">
        <v>1428</v>
      </c>
      <c r="C8" s="102">
        <v>1428</v>
      </c>
      <c r="D8" s="102">
        <v>470</v>
      </c>
      <c r="E8" s="26">
        <f t="shared" si="2"/>
        <v>1.0862295767279209</v>
      </c>
      <c r="F8" s="94">
        <v>26.7</v>
      </c>
      <c r="G8" s="26">
        <f t="shared" si="3"/>
        <v>0.8542588198348885</v>
      </c>
      <c r="H8" s="95"/>
      <c r="I8" s="24"/>
      <c r="J8" s="26">
        <f t="shared" si="0"/>
        <v>1.013468720821662</v>
      </c>
      <c r="K8" s="94"/>
      <c r="L8" s="94"/>
      <c r="M8" s="94"/>
      <c r="N8" s="96">
        <f t="shared" si="4"/>
        <v>1.0208024209771471</v>
      </c>
      <c r="O8" s="94">
        <v>105.74</v>
      </c>
      <c r="P8" s="94">
        <v>3311.51</v>
      </c>
      <c r="Q8" s="94">
        <v>5.05</v>
      </c>
      <c r="R8" s="26">
        <f t="shared" si="5"/>
        <v>0.9617213095220675</v>
      </c>
      <c r="S8" s="113">
        <f t="shared" si="6"/>
        <v>1</v>
      </c>
      <c r="T8" s="26">
        <f t="shared" si="7"/>
        <v>1</v>
      </c>
      <c r="U8" s="24"/>
      <c r="V8" s="24"/>
      <c r="W8" s="26">
        <f t="shared" si="8"/>
        <v>0.9981138660468412</v>
      </c>
      <c r="X8" s="24">
        <f t="shared" si="9"/>
        <v>1454.9564286444668</v>
      </c>
      <c r="Y8" s="26">
        <f t="shared" si="10"/>
        <v>1.041450395908452</v>
      </c>
      <c r="Z8" s="25">
        <f>SUM(НПn2016!N8)</f>
        <v>1830.5597684619324</v>
      </c>
      <c r="AA8" s="26">
        <f t="shared" si="11"/>
        <v>0.797627978161709</v>
      </c>
      <c r="AB8" s="26">
        <f t="shared" si="12"/>
        <v>0.7658818713741447</v>
      </c>
      <c r="AC8" s="24">
        <f>SUM(ПНД!L14)</f>
        <v>1745</v>
      </c>
      <c r="AD8" s="35"/>
      <c r="AE8" s="25">
        <f t="shared" si="1"/>
        <v>10.433510755289667</v>
      </c>
      <c r="AF8" s="24">
        <f t="shared" si="13"/>
        <v>23231.28144008633</v>
      </c>
      <c r="AG8" s="30">
        <f t="shared" si="14"/>
        <v>23231.28144008633</v>
      </c>
      <c r="AH8" s="98"/>
      <c r="AI8" s="30">
        <f t="shared" si="15"/>
        <v>2497.47752870421</v>
      </c>
      <c r="AJ8" s="82">
        <f t="shared" si="16"/>
        <v>25728.758968790542</v>
      </c>
      <c r="AK8" s="82">
        <v>25728.8</v>
      </c>
    </row>
    <row r="9" spans="1:37" s="101" customFormat="1" ht="18.75">
      <c r="A9" s="19" t="s">
        <v>7</v>
      </c>
      <c r="B9" s="102">
        <v>3207</v>
      </c>
      <c r="C9" s="102">
        <v>3207</v>
      </c>
      <c r="D9" s="102">
        <v>949</v>
      </c>
      <c r="E9" s="26">
        <f t="shared" si="2"/>
        <v>1.0590835005975814</v>
      </c>
      <c r="F9" s="94">
        <v>69.85</v>
      </c>
      <c r="G9" s="26">
        <f t="shared" si="3"/>
        <v>0.9951163640338121</v>
      </c>
      <c r="H9" s="95"/>
      <c r="I9" s="24"/>
      <c r="J9" s="26">
        <f t="shared" si="0"/>
        <v>0.8950524893462218</v>
      </c>
      <c r="K9" s="94"/>
      <c r="L9" s="94"/>
      <c r="M9" s="94"/>
      <c r="N9" s="96">
        <f t="shared" si="4"/>
        <v>0.9527605842454216</v>
      </c>
      <c r="O9" s="94">
        <v>196.86</v>
      </c>
      <c r="P9" s="94">
        <v>3091.64</v>
      </c>
      <c r="Q9" s="94">
        <v>5.05</v>
      </c>
      <c r="R9" s="26">
        <f t="shared" si="5"/>
        <v>1.043607366826569</v>
      </c>
      <c r="S9" s="113">
        <f t="shared" si="6"/>
        <v>1</v>
      </c>
      <c r="T9" s="26">
        <f t="shared" si="7"/>
        <v>1</v>
      </c>
      <c r="U9" s="24"/>
      <c r="V9" s="24"/>
      <c r="W9" s="26">
        <f t="shared" si="8"/>
        <v>1.002148697725876</v>
      </c>
      <c r="X9" s="24">
        <f t="shared" si="9"/>
        <v>3062.068546438724</v>
      </c>
      <c r="Y9" s="26">
        <f t="shared" si="10"/>
        <v>0.9759616612633124</v>
      </c>
      <c r="Z9" s="25">
        <f>SUM(НПn2016!N9)</f>
        <v>3278.6757986962275</v>
      </c>
      <c r="AA9" s="26">
        <f t="shared" si="11"/>
        <v>0.6361275258981144</v>
      </c>
      <c r="AB9" s="26">
        <f t="shared" si="12"/>
        <v>0.651795609547503</v>
      </c>
      <c r="AC9" s="24">
        <f>SUM(ПНД!L12)</f>
        <v>3286.8</v>
      </c>
      <c r="AD9" s="35"/>
      <c r="AE9" s="25">
        <f t="shared" si="1"/>
        <v>10.433510755289667</v>
      </c>
      <c r="AF9" s="24">
        <f t="shared" si="13"/>
        <v>49468.999601369585</v>
      </c>
      <c r="AG9" s="30">
        <f t="shared" si="14"/>
        <v>49468.999601369585</v>
      </c>
      <c r="AH9" s="98"/>
      <c r="AI9" s="30">
        <f t="shared" si="15"/>
        <v>5608.83083652269</v>
      </c>
      <c r="AJ9" s="82">
        <f t="shared" si="16"/>
        <v>55077.83043789228</v>
      </c>
      <c r="AK9" s="82">
        <v>55077.8</v>
      </c>
    </row>
    <row r="10" spans="1:37" s="101" customFormat="1" ht="18.75">
      <c r="A10" s="19" t="s">
        <v>8</v>
      </c>
      <c r="B10" s="102">
        <v>824</v>
      </c>
      <c r="C10" s="102">
        <v>824</v>
      </c>
      <c r="D10" s="102">
        <v>257</v>
      </c>
      <c r="E10" s="26">
        <f t="shared" si="2"/>
        <v>1.072141496828826</v>
      </c>
      <c r="F10" s="94">
        <v>19.86</v>
      </c>
      <c r="G10" s="26">
        <f t="shared" si="3"/>
        <v>1.1011803421340598</v>
      </c>
      <c r="H10" s="95"/>
      <c r="I10" s="24"/>
      <c r="J10" s="26">
        <f t="shared" si="0"/>
        <v>1.1699433656957927</v>
      </c>
      <c r="K10" s="94"/>
      <c r="L10" s="94"/>
      <c r="M10" s="94"/>
      <c r="N10" s="96">
        <f t="shared" si="4"/>
        <v>1.1030495354859757</v>
      </c>
      <c r="O10" s="94">
        <v>105.74</v>
      </c>
      <c r="P10" s="94">
        <v>3645.36</v>
      </c>
      <c r="Q10" s="94">
        <v>5.71</v>
      </c>
      <c r="R10" s="26">
        <f t="shared" si="5"/>
        <v>1.0480690152456427</v>
      </c>
      <c r="S10" s="113">
        <f t="shared" si="6"/>
        <v>1</v>
      </c>
      <c r="T10" s="26">
        <f t="shared" si="7"/>
        <v>1</v>
      </c>
      <c r="U10" s="24"/>
      <c r="V10" s="24"/>
      <c r="W10" s="26">
        <f t="shared" si="8"/>
        <v>1.0023685397963649</v>
      </c>
      <c r="X10" s="24">
        <f t="shared" si="9"/>
        <v>911.0656134195041</v>
      </c>
      <c r="Y10" s="26">
        <f t="shared" si="10"/>
        <v>1.130158231725064</v>
      </c>
      <c r="Z10" s="25">
        <f>SUM(НПn2016!N10)</f>
        <v>481.4454012987681</v>
      </c>
      <c r="AA10" s="26">
        <f t="shared" si="11"/>
        <v>0.3635502974792624</v>
      </c>
      <c r="AB10" s="26">
        <f t="shared" si="12"/>
        <v>0.32168088261795186</v>
      </c>
      <c r="AC10" s="24">
        <f>SUM(ПНД!L10)</f>
        <v>679.4</v>
      </c>
      <c r="AD10" s="35"/>
      <c r="AE10" s="25">
        <f t="shared" si="1"/>
        <v>10.433510755289667</v>
      </c>
      <c r="AF10" s="24">
        <f t="shared" si="13"/>
        <v>15215.373485958778</v>
      </c>
      <c r="AG10" s="30">
        <f t="shared" si="14"/>
        <v>15215.373485958778</v>
      </c>
      <c r="AH10" s="98"/>
      <c r="AI10" s="30">
        <f t="shared" si="15"/>
        <v>1441.121487151449</v>
      </c>
      <c r="AJ10" s="82">
        <f t="shared" si="16"/>
        <v>16656.494973110228</v>
      </c>
      <c r="AK10" s="82">
        <v>16656.5</v>
      </c>
    </row>
    <row r="11" spans="1:37" s="101" customFormat="1" ht="18.75">
      <c r="A11" s="19" t="s">
        <v>9</v>
      </c>
      <c r="B11" s="102">
        <v>1088</v>
      </c>
      <c r="C11" s="102">
        <v>1088</v>
      </c>
      <c r="D11" s="102">
        <v>262</v>
      </c>
      <c r="E11" s="26">
        <f t="shared" si="2"/>
        <v>1.0140479616779687</v>
      </c>
      <c r="F11" s="94">
        <v>16.96</v>
      </c>
      <c r="G11" s="26">
        <f t="shared" si="3"/>
        <v>0.7122022969859408</v>
      </c>
      <c r="H11" s="95"/>
      <c r="I11" s="24"/>
      <c r="J11" s="26">
        <f t="shared" si="0"/>
        <v>1.0801776960784313</v>
      </c>
      <c r="K11" s="94"/>
      <c r="L11" s="94"/>
      <c r="M11" s="94"/>
      <c r="N11" s="96">
        <f t="shared" si="4"/>
        <v>1.0190362563508466</v>
      </c>
      <c r="O11" s="94">
        <v>105.74</v>
      </c>
      <c r="P11" s="94">
        <v>5137.77</v>
      </c>
      <c r="Q11" s="94">
        <v>5.05</v>
      </c>
      <c r="R11" s="26">
        <f t="shared" si="5"/>
        <v>1.33340758008215</v>
      </c>
      <c r="S11" s="113">
        <f t="shared" si="6"/>
        <v>1</v>
      </c>
      <c r="T11" s="26">
        <f t="shared" si="7"/>
        <v>1</v>
      </c>
      <c r="U11" s="24"/>
      <c r="V11" s="24"/>
      <c r="W11" s="26">
        <f t="shared" si="8"/>
        <v>1.0164282358978816</v>
      </c>
      <c r="X11" s="24">
        <f t="shared" si="9"/>
        <v>1126.9256201022356</v>
      </c>
      <c r="Y11" s="26">
        <f t="shared" si="10"/>
        <v>1.0587249947956374</v>
      </c>
      <c r="Z11" s="25">
        <f>SUM(НПn2016!N11)</f>
        <v>692.4337754249361</v>
      </c>
      <c r="AA11" s="26">
        <f t="shared" si="11"/>
        <v>0.3959989383503459</v>
      </c>
      <c r="AB11" s="26">
        <f t="shared" si="12"/>
        <v>0.37403380509287437</v>
      </c>
      <c r="AC11" s="24">
        <f>SUM(ПНД!L15)</f>
        <v>843</v>
      </c>
      <c r="AD11" s="35"/>
      <c r="AE11" s="25">
        <f t="shared" si="1"/>
        <v>10.433510755289667</v>
      </c>
      <c r="AF11" s="24">
        <f t="shared" si="13"/>
        <v>18722.9320081509</v>
      </c>
      <c r="AG11" s="30">
        <f t="shared" si="14"/>
        <v>18722.9320081509</v>
      </c>
      <c r="AH11" s="98"/>
      <c r="AI11" s="30">
        <f t="shared" si="15"/>
        <v>1902.8400218698741</v>
      </c>
      <c r="AJ11" s="82">
        <f t="shared" si="16"/>
        <v>20625.772030020773</v>
      </c>
      <c r="AK11" s="82">
        <v>20625.8</v>
      </c>
    </row>
    <row r="12" spans="1:37" s="101" customFormat="1" ht="18.75">
      <c r="A12" s="19" t="s">
        <v>10</v>
      </c>
      <c r="B12" s="102">
        <v>1288</v>
      </c>
      <c r="C12" s="102">
        <v>1288</v>
      </c>
      <c r="D12" s="102">
        <v>416</v>
      </c>
      <c r="E12" s="26">
        <f t="shared" si="2"/>
        <v>1.0812032704444408</v>
      </c>
      <c r="F12" s="94">
        <v>33.1</v>
      </c>
      <c r="G12" s="26">
        <f t="shared" si="3"/>
        <v>1.1741363896460475</v>
      </c>
      <c r="H12" s="95"/>
      <c r="I12" s="24"/>
      <c r="J12" s="26">
        <f t="shared" si="0"/>
        <v>1.0366718426501036</v>
      </c>
      <c r="K12" s="94"/>
      <c r="L12" s="94"/>
      <c r="M12" s="94"/>
      <c r="N12" s="96">
        <f t="shared" si="4"/>
        <v>1.0409262814827074</v>
      </c>
      <c r="O12" s="94">
        <v>105.74</v>
      </c>
      <c r="P12" s="94">
        <v>3645.36</v>
      </c>
      <c r="Q12" s="94">
        <v>5.71</v>
      </c>
      <c r="R12" s="26">
        <f t="shared" si="5"/>
        <v>1.0480690152456427</v>
      </c>
      <c r="S12" s="113">
        <f t="shared" si="6"/>
        <v>1</v>
      </c>
      <c r="T12" s="26">
        <f t="shared" si="7"/>
        <v>1</v>
      </c>
      <c r="U12" s="24"/>
      <c r="V12" s="24"/>
      <c r="W12" s="26">
        <f t="shared" si="8"/>
        <v>1.0023685397963649</v>
      </c>
      <c r="X12" s="24">
        <f t="shared" si="9"/>
        <v>1343.88858276546</v>
      </c>
      <c r="Y12" s="26">
        <f t="shared" si="10"/>
        <v>1.0665082281353264</v>
      </c>
      <c r="Z12" s="25">
        <f>SUM(НПn2016!N12)</f>
        <v>1903.3279251249912</v>
      </c>
      <c r="AA12" s="26">
        <f t="shared" si="11"/>
        <v>0.9194803019729337</v>
      </c>
      <c r="AB12" s="26">
        <f t="shared" si="12"/>
        <v>0.8621408421579129</v>
      </c>
      <c r="AC12" s="24">
        <f>SUM(ПНД!L11)</f>
        <v>2050</v>
      </c>
      <c r="AD12" s="35"/>
      <c r="AE12" s="25">
        <f t="shared" si="1"/>
        <v>10.433510755289667</v>
      </c>
      <c r="AF12" s="24">
        <f t="shared" si="13"/>
        <v>21244.2093887767</v>
      </c>
      <c r="AG12" s="30">
        <f t="shared" si="14"/>
        <v>21244.2093887767</v>
      </c>
      <c r="AH12" s="98"/>
      <c r="AI12" s="30">
        <f t="shared" si="15"/>
        <v>2252.626790595954</v>
      </c>
      <c r="AJ12" s="82">
        <f t="shared" si="16"/>
        <v>23496.836179372654</v>
      </c>
      <c r="AK12" s="82">
        <v>23496.8</v>
      </c>
    </row>
    <row r="13" spans="1:37" s="101" customFormat="1" ht="18.75">
      <c r="A13" s="19" t="s">
        <v>11</v>
      </c>
      <c r="B13" s="102">
        <v>792</v>
      </c>
      <c r="C13" s="102">
        <v>792</v>
      </c>
      <c r="D13" s="102">
        <v>0</v>
      </c>
      <c r="E13" s="26">
        <f t="shared" si="2"/>
        <v>0.8172475424486149</v>
      </c>
      <c r="F13" s="94">
        <v>14.14</v>
      </c>
      <c r="G13" s="26">
        <f t="shared" si="3"/>
        <v>0.8157003437653919</v>
      </c>
      <c r="H13" s="95"/>
      <c r="I13" s="24"/>
      <c r="J13" s="26">
        <f t="shared" si="0"/>
        <v>1.1848905723905723</v>
      </c>
      <c r="K13" s="94"/>
      <c r="L13" s="94"/>
      <c r="M13" s="94"/>
      <c r="N13" s="96">
        <f t="shared" si="4"/>
        <v>0.990545353975248</v>
      </c>
      <c r="O13" s="94">
        <v>105.74</v>
      </c>
      <c r="P13" s="94">
        <v>4303.78</v>
      </c>
      <c r="Q13" s="94">
        <v>5.71</v>
      </c>
      <c r="R13" s="26">
        <f t="shared" si="5"/>
        <v>1.1820727574631633</v>
      </c>
      <c r="S13" s="113">
        <f t="shared" si="6"/>
        <v>1</v>
      </c>
      <c r="T13" s="26">
        <f t="shared" si="7"/>
        <v>1</v>
      </c>
      <c r="U13" s="24"/>
      <c r="V13" s="24"/>
      <c r="W13" s="26">
        <f t="shared" si="8"/>
        <v>1.0089714043377347</v>
      </c>
      <c r="X13" s="24">
        <f t="shared" si="9"/>
        <v>791.5500939936146</v>
      </c>
      <c r="Y13" s="26">
        <f t="shared" si="10"/>
        <v>1.0215744730306484</v>
      </c>
      <c r="Z13" s="25">
        <f>SUM(НПn2016!N13)</f>
        <v>860.3353753405578</v>
      </c>
      <c r="AA13" s="26">
        <f t="shared" si="11"/>
        <v>0.675907510665566</v>
      </c>
      <c r="AB13" s="26">
        <f t="shared" si="12"/>
        <v>0.6616331246613755</v>
      </c>
      <c r="AC13" s="24">
        <f>SUM(ПНД!L8)</f>
        <v>1109</v>
      </c>
      <c r="AD13" s="35"/>
      <c r="AE13" s="25">
        <f t="shared" si="1"/>
        <v>10.433510755289667</v>
      </c>
      <c r="AF13" s="24">
        <f t="shared" si="13"/>
        <v>12774.962456523244</v>
      </c>
      <c r="AG13" s="30">
        <f t="shared" si="14"/>
        <v>12774.962456523244</v>
      </c>
      <c r="AH13" s="98"/>
      <c r="AI13" s="30">
        <f t="shared" si="15"/>
        <v>1385.155604155276</v>
      </c>
      <c r="AJ13" s="82">
        <f t="shared" si="16"/>
        <v>14160.11806067852</v>
      </c>
      <c r="AK13" s="82">
        <v>14160.1</v>
      </c>
    </row>
    <row r="14" spans="1:37" s="101" customFormat="1" ht="18.75">
      <c r="A14" s="19" t="s">
        <v>12</v>
      </c>
      <c r="B14" s="102">
        <v>284</v>
      </c>
      <c r="C14" s="102">
        <v>284</v>
      </c>
      <c r="D14" s="102">
        <v>284</v>
      </c>
      <c r="E14" s="26">
        <f t="shared" si="2"/>
        <v>1.6344950848972297</v>
      </c>
      <c r="F14" s="94">
        <v>5.08</v>
      </c>
      <c r="G14" s="26">
        <f t="shared" si="3"/>
        <v>0.8172440920503036</v>
      </c>
      <c r="H14" s="95"/>
      <c r="I14" s="24"/>
      <c r="J14" s="26">
        <f t="shared" si="0"/>
        <v>1.8733568075117368</v>
      </c>
      <c r="K14" s="94"/>
      <c r="L14" s="94"/>
      <c r="M14" s="94"/>
      <c r="N14" s="96">
        <f t="shared" si="4"/>
        <v>1.6997103157534792</v>
      </c>
      <c r="O14" s="94">
        <v>0</v>
      </c>
      <c r="P14" s="94">
        <v>2936.18</v>
      </c>
      <c r="Q14" s="94">
        <v>5.71</v>
      </c>
      <c r="R14" s="26">
        <f t="shared" si="5"/>
        <v>0.7567814789280991</v>
      </c>
      <c r="S14" s="113">
        <f t="shared" si="6"/>
        <v>1</v>
      </c>
      <c r="T14" s="26">
        <f t="shared" si="7"/>
        <v>1</v>
      </c>
      <c r="U14" s="24"/>
      <c r="V14" s="24"/>
      <c r="W14" s="26">
        <f t="shared" si="8"/>
        <v>0.9880157156657368</v>
      </c>
      <c r="X14" s="24">
        <f t="shared" si="9"/>
        <v>476.932703148385</v>
      </c>
      <c r="Y14" s="26">
        <f t="shared" si="10"/>
        <v>1.7165464972494848</v>
      </c>
      <c r="Z14" s="25">
        <f>SUM(НПn2016!N14)</f>
        <v>283.40164873987425</v>
      </c>
      <c r="AA14" s="26">
        <f t="shared" si="11"/>
        <v>0.6209100734520048</v>
      </c>
      <c r="AB14" s="26">
        <f t="shared" si="12"/>
        <v>0.3617205094338677</v>
      </c>
      <c r="AC14" s="24">
        <f>SUM(ПНД!L16)</f>
        <v>389.8</v>
      </c>
      <c r="AD14" s="35"/>
      <c r="AE14" s="25">
        <f t="shared" si="1"/>
        <v>10.433510755289667</v>
      </c>
      <c r="AF14" s="24">
        <f t="shared" si="13"/>
        <v>7933.539408792976</v>
      </c>
      <c r="AG14" s="30">
        <f t="shared" si="14"/>
        <v>7933.539408792976</v>
      </c>
      <c r="AH14" s="98"/>
      <c r="AI14" s="30">
        <f t="shared" si="15"/>
        <v>496.69721159103335</v>
      </c>
      <c r="AJ14" s="82">
        <f t="shared" si="16"/>
        <v>8430.23662038401</v>
      </c>
      <c r="AK14" s="82">
        <v>8430.2</v>
      </c>
    </row>
    <row r="15" spans="1:37" s="110" customFormat="1" ht="18.75">
      <c r="A15" s="19" t="s">
        <v>13</v>
      </c>
      <c r="B15" s="103">
        <f>SUM(B3:B14)</f>
        <v>18290</v>
      </c>
      <c r="C15" s="103">
        <f>SUM(C3:C14)</f>
        <v>18290</v>
      </c>
      <c r="D15" s="103">
        <f>SUM(D3:D14)</f>
        <v>4090</v>
      </c>
      <c r="E15" s="104">
        <f t="shared" si="2"/>
        <v>1</v>
      </c>
      <c r="F15" s="105">
        <f>SUM(F3:F14)</f>
        <v>400.31999999999994</v>
      </c>
      <c r="G15" s="104">
        <f t="shared" si="3"/>
        <v>1</v>
      </c>
      <c r="H15" s="103">
        <f>B15/12</f>
        <v>1524.1666666666667</v>
      </c>
      <c r="I15" s="114">
        <v>0.8</v>
      </c>
      <c r="J15" s="104">
        <f t="shared" si="0"/>
        <v>0.8166666666666667</v>
      </c>
      <c r="K15" s="105">
        <f>SUM('а1 а2 а3'!O17)</f>
        <v>0.5135150124480378</v>
      </c>
      <c r="L15" s="105">
        <f>SUM('а1 а2 а3'!O24)</f>
        <v>0.0324987141435525</v>
      </c>
      <c r="M15" s="105">
        <f>SUM('а1 а2 а3'!O29)</f>
        <v>0.4350909928469671</v>
      </c>
      <c r="N15" s="96">
        <f>SUM(K$15*J15+L$15*G15+M$15*E15)</f>
        <v>0.8869603004897504</v>
      </c>
      <c r="O15" s="105">
        <f>SUM(O3:O14)/12</f>
        <v>143.91</v>
      </c>
      <c r="P15" s="105">
        <f>SUM(P3:P14)/12</f>
        <v>3193.7391666666667</v>
      </c>
      <c r="Q15" s="105">
        <f>SUM(Q3:Q14)/12</f>
        <v>5.38</v>
      </c>
      <c r="R15" s="104">
        <f t="shared" si="5"/>
        <v>0.9999999999999999</v>
      </c>
      <c r="S15" s="114">
        <f t="shared" si="6"/>
        <v>1</v>
      </c>
      <c r="T15" s="104">
        <f t="shared" si="7"/>
        <v>1</v>
      </c>
      <c r="U15" s="105">
        <f>SUM('q1q2'!O26)</f>
        <v>0.4772492775168167</v>
      </c>
      <c r="V15" s="105">
        <f>SUM('q1q2'!O27)</f>
        <v>0.04927373245033542</v>
      </c>
      <c r="W15" s="104">
        <f t="shared" si="8"/>
        <v>1</v>
      </c>
      <c r="X15" s="27">
        <f>SUM(X3:X14)</f>
        <v>17893.565870877446</v>
      </c>
      <c r="Y15" s="104">
        <f t="shared" si="10"/>
        <v>0.906611013870654</v>
      </c>
      <c r="Z15" s="28">
        <f>SUM(Z3:Z14)</f>
        <v>29394.700000000004</v>
      </c>
      <c r="AA15" s="26">
        <f t="shared" si="11"/>
        <v>1</v>
      </c>
      <c r="AB15" s="26">
        <f t="shared" si="12"/>
        <v>1.1030088810973455</v>
      </c>
      <c r="AC15" s="27">
        <f>SUM(AC3:AC14)</f>
        <v>29552.899999999998</v>
      </c>
      <c r="AD15" s="37">
        <v>278787.6</v>
      </c>
      <c r="AE15" s="28">
        <f t="shared" si="1"/>
        <v>10.433510755289667</v>
      </c>
      <c r="AF15" s="27">
        <f>SUM(AF3:AF14)</f>
        <v>278787.6</v>
      </c>
      <c r="AG15" s="31">
        <f>SUM(AG3:AG14)</f>
        <v>278787.6</v>
      </c>
      <c r="AH15" s="37">
        <v>31988</v>
      </c>
      <c r="AI15" s="31">
        <f>SUM(AI3:AI14)</f>
        <v>31988</v>
      </c>
      <c r="AJ15" s="83">
        <f>SUM(AJ3:AJ14)</f>
        <v>310775.6000000001</v>
      </c>
      <c r="AK15" s="83">
        <f>SUM(AK3:AK14)</f>
        <v>310775.60380113265</v>
      </c>
    </row>
    <row r="16" ht="23.25" customHeight="1"/>
    <row r="17" ht="12.75">
      <c r="AD17" s="84"/>
    </row>
    <row r="18" ht="12.75">
      <c r="AD18" s="84"/>
    </row>
    <row r="19" spans="17:27" ht="12.75">
      <c r="Q19" s="146" t="s">
        <v>136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</row>
    <row r="20" spans="17:27" ht="12.75"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</row>
    <row r="21" spans="17:27" ht="12.75"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</row>
  </sheetData>
  <sheetProtection/>
  <mergeCells count="2">
    <mergeCell ref="A1:AJ1"/>
    <mergeCell ref="Q19:AA21"/>
  </mergeCells>
  <printOptions/>
  <pageMargins left="0.35" right="0.27" top="0.7480314960629921" bottom="0.7480314960629921" header="0.31496062992125984" footer="0.31496062992125984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tabSelected="1" zoomScaleSheetLayoutView="110" zoomScalePageLayoutView="0" workbookViewId="0" topLeftCell="A1">
      <pane xSplit="1" topLeftCell="R1" activePane="topRight" state="frozen"/>
      <selection pane="topLeft" activeCell="A1" sqref="A1"/>
      <selection pane="topRight" activeCell="AI2" sqref="B1:AI16384"/>
    </sheetView>
  </sheetViews>
  <sheetFormatPr defaultColWidth="9.140625" defaultRowHeight="15"/>
  <cols>
    <col min="1" max="1" width="26.28125" style="92" customWidth="1"/>
    <col min="2" max="3" width="11.7109375" style="92" customWidth="1"/>
    <col min="4" max="4" width="11.421875" style="92" customWidth="1"/>
    <col min="5" max="6" width="13.421875" style="92" customWidth="1"/>
    <col min="7" max="7" width="12.8515625" style="23" customWidth="1"/>
    <col min="8" max="8" width="11.7109375" style="23" customWidth="1"/>
    <col min="9" max="9" width="15.28125" style="23" customWidth="1"/>
    <col min="10" max="11" width="13.57421875" style="23" customWidth="1"/>
    <col min="12" max="12" width="14.8515625" style="23" customWidth="1"/>
    <col min="13" max="14" width="13.57421875" style="23" customWidth="1"/>
    <col min="15" max="15" width="15.28125" style="111" customWidth="1"/>
    <col min="16" max="16" width="14.140625" style="111" customWidth="1"/>
    <col min="17" max="17" width="15.28125" style="111" customWidth="1"/>
    <col min="18" max="29" width="11.7109375" style="23" customWidth="1"/>
    <col min="30" max="31" width="16.28125" style="23" customWidth="1"/>
    <col min="32" max="32" width="18.421875" style="23" customWidth="1"/>
    <col min="33" max="33" width="13.7109375" style="23" customWidth="1"/>
    <col min="34" max="34" width="17.7109375" style="23" customWidth="1"/>
    <col min="35" max="35" width="14.7109375" style="112" customWidth="1"/>
    <col min="36" max="37" width="14.57421875" style="112" customWidth="1"/>
    <col min="38" max="16384" width="9.140625" style="92" customWidth="1"/>
  </cols>
  <sheetData>
    <row r="1" spans="1:37" ht="24.75" customHeight="1">
      <c r="A1" s="145" t="s">
        <v>139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92"/>
    </row>
    <row r="2" spans="1:37" s="93" customFormat="1" ht="233.25" customHeight="1">
      <c r="A2" s="16" t="s">
        <v>0</v>
      </c>
      <c r="B2" s="17" t="s">
        <v>142</v>
      </c>
      <c r="C2" s="17" t="s">
        <v>143</v>
      </c>
      <c r="D2" s="17" t="s">
        <v>16</v>
      </c>
      <c r="E2" s="21" t="s">
        <v>17</v>
      </c>
      <c r="F2" s="8" t="s">
        <v>60</v>
      </c>
      <c r="G2" s="21" t="s">
        <v>18</v>
      </c>
      <c r="H2" s="8" t="s">
        <v>19</v>
      </c>
      <c r="I2" s="8" t="s">
        <v>20</v>
      </c>
      <c r="J2" s="21" t="s">
        <v>21</v>
      </c>
      <c r="K2" s="18" t="s">
        <v>22</v>
      </c>
      <c r="L2" s="18" t="s">
        <v>23</v>
      </c>
      <c r="M2" s="18" t="s">
        <v>24</v>
      </c>
      <c r="N2" s="21" t="s">
        <v>34</v>
      </c>
      <c r="O2" s="9" t="s">
        <v>25</v>
      </c>
      <c r="P2" s="9" t="s">
        <v>27</v>
      </c>
      <c r="Q2" s="9" t="s">
        <v>26</v>
      </c>
      <c r="R2" s="21" t="s">
        <v>28</v>
      </c>
      <c r="S2" s="8" t="s">
        <v>29</v>
      </c>
      <c r="T2" s="21" t="s">
        <v>30</v>
      </c>
      <c r="U2" s="8" t="s">
        <v>31</v>
      </c>
      <c r="V2" s="8" t="s">
        <v>32</v>
      </c>
      <c r="W2" s="21" t="s">
        <v>33</v>
      </c>
      <c r="X2" s="14" t="s">
        <v>35</v>
      </c>
      <c r="Y2" s="20" t="s">
        <v>51</v>
      </c>
      <c r="Z2" s="21" t="s">
        <v>48</v>
      </c>
      <c r="AA2" s="20" t="s">
        <v>49</v>
      </c>
      <c r="AB2" s="21" t="s">
        <v>52</v>
      </c>
      <c r="AC2" s="14" t="s">
        <v>53</v>
      </c>
      <c r="AD2" s="22" t="s">
        <v>50</v>
      </c>
      <c r="AE2" s="21" t="s">
        <v>54</v>
      </c>
      <c r="AF2" s="8" t="s">
        <v>55</v>
      </c>
      <c r="AG2" s="29" t="s">
        <v>56</v>
      </c>
      <c r="AH2" s="22" t="s">
        <v>57</v>
      </c>
      <c r="AI2" s="32" t="s">
        <v>58</v>
      </c>
      <c r="AJ2" s="33" t="s">
        <v>59</v>
      </c>
      <c r="AK2" s="33" t="s">
        <v>59</v>
      </c>
    </row>
    <row r="3" spans="1:37" s="101" customFormat="1" ht="18.75">
      <c r="A3" s="19" t="s">
        <v>1</v>
      </c>
      <c r="B3" s="102">
        <v>5129</v>
      </c>
      <c r="C3" s="102">
        <v>5129</v>
      </c>
      <c r="D3" s="102">
        <v>513</v>
      </c>
      <c r="E3" s="26">
        <f>(1+D3/B3)/(1+D$15/B$15)</f>
        <v>0.8989882305508062</v>
      </c>
      <c r="F3" s="94">
        <v>126.57</v>
      </c>
      <c r="G3" s="26">
        <f>(F3/B3)/(F$15/B$15)</f>
        <v>1.127468711324565</v>
      </c>
      <c r="H3" s="95"/>
      <c r="I3" s="24"/>
      <c r="J3" s="26">
        <f aca="true" t="shared" si="0" ref="J3:J15">SUM(I$15+(1-I$15)*H$15/B3)</f>
        <v>0.8594332878403848</v>
      </c>
      <c r="K3" s="94"/>
      <c r="L3" s="94"/>
      <c r="M3" s="94"/>
      <c r="N3" s="96">
        <f>SUM(K$15*J3+L$15*G3+M$15*E3)</f>
        <v>0.8691148606468382</v>
      </c>
      <c r="O3" s="94">
        <v>84.73</v>
      </c>
      <c r="P3" s="94">
        <v>1952.15</v>
      </c>
      <c r="Q3" s="94">
        <v>5.43</v>
      </c>
      <c r="R3" s="26">
        <f>SUM(0.2*O3/O$15+0.65*P3/P$15+0.15*Q3/Q$15)</f>
        <v>0.6320120995304536</v>
      </c>
      <c r="S3" s="113">
        <f>SUM(C3/B3)</f>
        <v>1</v>
      </c>
      <c r="T3" s="26">
        <f>SUM((1+0.25*S3)/(1+0.25*S$15))</f>
        <v>1</v>
      </c>
      <c r="U3" s="24"/>
      <c r="V3" s="24"/>
      <c r="W3" s="26">
        <f>SUM(U$15*T3+V$15*R3+1-U$15-V$15)</f>
        <v>0.981867862647303</v>
      </c>
      <c r="X3" s="24">
        <f>SUM(W3*N3*B3)</f>
        <v>4376.862670721362</v>
      </c>
      <c r="Y3" s="26">
        <f>SUM(W3*N3*B$15/X$15)</f>
        <v>0.8722621707230497</v>
      </c>
      <c r="Z3" s="25">
        <f>SUM(НПn2017!N3)</f>
        <v>14202.087476906283</v>
      </c>
      <c r="AA3" s="26">
        <f>(Z3/B3)/(Z$15/B$15)</f>
        <v>1.6827966033778357</v>
      </c>
      <c r="AB3" s="26">
        <f>SUM(AA3/Y3)</f>
        <v>1.92923258609611</v>
      </c>
      <c r="AC3" s="24">
        <f>SUM(ПНД!M5)</f>
        <v>11155.7</v>
      </c>
      <c r="AD3" s="35"/>
      <c r="AE3" s="25">
        <f aca="true" t="shared" si="1" ref="AE3:AE15">SUM(AC$15+AD$15)/AC$15</f>
        <v>10.2471954461679</v>
      </c>
      <c r="AF3" s="24">
        <f>SUM(AC$15/B$15)*(AE$15-AB3)*Y3*B3</f>
        <v>62372.25020317775</v>
      </c>
      <c r="AG3" s="30">
        <f>SUM(AD$15*AF3/AF$15)</f>
        <v>62372.25020317774</v>
      </c>
      <c r="AH3" s="98"/>
      <c r="AI3" s="30">
        <f>SUM(AH$15*B3/B$15)</f>
        <v>8970.281683980316</v>
      </c>
      <c r="AJ3" s="115">
        <f>SUM(AI3+AG3)</f>
        <v>71342.53188715805</v>
      </c>
      <c r="AK3" s="115">
        <v>71342.5</v>
      </c>
    </row>
    <row r="4" spans="1:37" s="101" customFormat="1" ht="18.75">
      <c r="A4" s="19" t="s">
        <v>2</v>
      </c>
      <c r="B4" s="102">
        <v>1058</v>
      </c>
      <c r="C4" s="102">
        <v>1058</v>
      </c>
      <c r="D4" s="102">
        <v>0</v>
      </c>
      <c r="E4" s="26">
        <f aca="true" t="shared" si="2" ref="E4:E15">(1+D4/B4)/(1+D$15/B$15)</f>
        <v>0.8172475424486149</v>
      </c>
      <c r="F4" s="94">
        <v>13.42</v>
      </c>
      <c r="G4" s="26">
        <f aca="true" t="shared" si="3" ref="G4:G15">(F4/B4)/(F$15/B$15)</f>
        <v>0.5795264544508062</v>
      </c>
      <c r="H4" s="95"/>
      <c r="I4" s="24"/>
      <c r="J4" s="26">
        <f t="shared" si="0"/>
        <v>1.088122243226213</v>
      </c>
      <c r="K4" s="94"/>
      <c r="L4" s="94"/>
      <c r="M4" s="94"/>
      <c r="N4" s="96">
        <f aca="true" t="shared" si="4" ref="N4:N14">SUM(K$15*J4+L$15*G4+M$15*E4)</f>
        <v>0.9331780165028305</v>
      </c>
      <c r="O4" s="94">
        <v>110.71</v>
      </c>
      <c r="P4" s="94">
        <v>0</v>
      </c>
      <c r="Q4" s="94">
        <v>5.43</v>
      </c>
      <c r="R4" s="26">
        <f aca="true" t="shared" si="5" ref="R4:R15">SUM(0.2*O4/O$15+0.65*P4/P$15+0.15*Q4/Q$15)</f>
        <v>0.287748021756036</v>
      </c>
      <c r="S4" s="113">
        <f aca="true" t="shared" si="6" ref="S4:S15">SUM(C4/B4)</f>
        <v>1</v>
      </c>
      <c r="T4" s="26">
        <f aca="true" t="shared" si="7" ref="T4:T15">SUM((1+0.25*S4)/(1+0.25*S$15))</f>
        <v>1</v>
      </c>
      <c r="U4" s="24"/>
      <c r="V4" s="24"/>
      <c r="W4" s="26">
        <f aca="true" t="shared" si="8" ref="W4:W15">SUM(U$15*T4+V$15*R4+1-U$15-V$15)</f>
        <v>0.9649046865867847</v>
      </c>
      <c r="X4" s="24">
        <f aca="true" t="shared" si="9" ref="X4:X14">SUM(W4*N4*B4)</f>
        <v>952.6526563528549</v>
      </c>
      <c r="Y4" s="26">
        <f aca="true" t="shared" si="10" ref="Y4:Y15">SUM(W4*N4*B$15/X$15)</f>
        <v>0.9203769459566993</v>
      </c>
      <c r="Z4" s="25">
        <f>SUM(НПn2017!N4)</f>
        <v>2746.4140687508325</v>
      </c>
      <c r="AA4" s="26">
        <f aca="true" t="shared" si="11" ref="AA4:AA15">(Z4/B4)/(Z$15/B$15)</f>
        <v>1.5775839889349308</v>
      </c>
      <c r="AB4" s="26">
        <f aca="true" t="shared" si="12" ref="AB4:AB15">SUM(AA4/Y4)</f>
        <v>1.714062912880861</v>
      </c>
      <c r="AC4" s="24">
        <f>SUM(ПНД!M6)</f>
        <v>3975.8</v>
      </c>
      <c r="AD4" s="35"/>
      <c r="AE4" s="25">
        <f t="shared" si="1"/>
        <v>10.2471954461679</v>
      </c>
      <c r="AF4" s="24">
        <f aca="true" t="shared" si="13" ref="AF4:AF14">SUM(AC$15/B$15)*(AE$15-AB4)*Y4*B4</f>
        <v>13926.904222889156</v>
      </c>
      <c r="AG4" s="30">
        <f aca="true" t="shared" si="14" ref="AG4:AG14">SUM(AD$15*AF4/AF$15)</f>
        <v>13926.904222889156</v>
      </c>
      <c r="AH4" s="98"/>
      <c r="AI4" s="30">
        <f aca="true" t="shared" si="15" ref="AI4:AI14">SUM(AH$15*B4/B$15)</f>
        <v>1850.3720065609623</v>
      </c>
      <c r="AJ4" s="115">
        <f aca="true" t="shared" si="16" ref="AJ4:AJ14">SUM(AI4+AG4)</f>
        <v>15777.276229450119</v>
      </c>
      <c r="AK4" s="115">
        <v>15777.3</v>
      </c>
    </row>
    <row r="5" spans="1:37" s="101" customFormat="1" ht="18.75">
      <c r="A5" s="19" t="s">
        <v>3</v>
      </c>
      <c r="B5" s="102">
        <v>1371</v>
      </c>
      <c r="C5" s="102">
        <v>1371</v>
      </c>
      <c r="D5" s="102">
        <v>592</v>
      </c>
      <c r="E5" s="26">
        <f t="shared" si="2"/>
        <v>1.1701363426890088</v>
      </c>
      <c r="F5" s="94">
        <v>31.77</v>
      </c>
      <c r="G5" s="26">
        <f t="shared" si="3"/>
        <v>1.0587323357943843</v>
      </c>
      <c r="H5" s="95"/>
      <c r="I5" s="24"/>
      <c r="J5" s="26">
        <f t="shared" si="0"/>
        <v>1.0223437879893023</v>
      </c>
      <c r="K5" s="94"/>
      <c r="L5" s="94"/>
      <c r="M5" s="94"/>
      <c r="N5" s="96">
        <f t="shared" si="4"/>
        <v>1.0685121056578977</v>
      </c>
      <c r="O5" s="94">
        <v>323.44</v>
      </c>
      <c r="P5" s="94">
        <v>2799.15</v>
      </c>
      <c r="Q5" s="94">
        <v>5.43</v>
      </c>
      <c r="R5" s="26">
        <f t="shared" si="5"/>
        <v>1.1131998867109931</v>
      </c>
      <c r="S5" s="113">
        <f t="shared" si="6"/>
        <v>1</v>
      </c>
      <c r="T5" s="26">
        <f t="shared" si="7"/>
        <v>1</v>
      </c>
      <c r="U5" s="24"/>
      <c r="V5" s="24"/>
      <c r="W5" s="26">
        <f t="shared" si="8"/>
        <v>1.0055777809312056</v>
      </c>
      <c r="X5" s="24">
        <f t="shared" si="9"/>
        <v>1473.1011560167758</v>
      </c>
      <c r="Y5" s="26">
        <f t="shared" si="10"/>
        <v>1.0982771098350572</v>
      </c>
      <c r="Z5" s="25">
        <f>SUM(НПn2017!N5)</f>
        <v>2071.3920173306033</v>
      </c>
      <c r="AA5" s="26">
        <f t="shared" si="11"/>
        <v>0.9181993604573876</v>
      </c>
      <c r="AB5" s="26">
        <f t="shared" si="12"/>
        <v>0.8360361444620162</v>
      </c>
      <c r="AC5" s="24">
        <f>SUM(ПНД!M7)</f>
        <v>2899.2000000000003</v>
      </c>
      <c r="AD5" s="35"/>
      <c r="AE5" s="25">
        <f t="shared" si="1"/>
        <v>10.2471954461679</v>
      </c>
      <c r="AF5" s="24">
        <f t="shared" si="13"/>
        <v>23751.290429339457</v>
      </c>
      <c r="AG5" s="30">
        <f t="shared" si="14"/>
        <v>23751.290429339457</v>
      </c>
      <c r="AH5" s="98"/>
      <c r="AI5" s="30">
        <f t="shared" si="15"/>
        <v>2397.788299617277</v>
      </c>
      <c r="AJ5" s="115">
        <f t="shared" si="16"/>
        <v>26149.078728956734</v>
      </c>
      <c r="AK5" s="115">
        <v>26149.1</v>
      </c>
    </row>
    <row r="6" spans="1:37" s="101" customFormat="1" ht="18.75">
      <c r="A6" s="19" t="s">
        <v>4</v>
      </c>
      <c r="B6" s="102">
        <v>810</v>
      </c>
      <c r="C6" s="102">
        <v>810</v>
      </c>
      <c r="D6" s="102">
        <v>52</v>
      </c>
      <c r="E6" s="26">
        <f t="shared" si="2"/>
        <v>0.8697128167786494</v>
      </c>
      <c r="F6" s="94">
        <v>19.83</v>
      </c>
      <c r="G6" s="26">
        <f t="shared" si="3"/>
        <v>1.1185209240015397</v>
      </c>
      <c r="H6" s="95"/>
      <c r="I6" s="24"/>
      <c r="J6" s="26">
        <f t="shared" si="0"/>
        <v>1.1763374485596707</v>
      </c>
      <c r="K6" s="94"/>
      <c r="L6" s="94"/>
      <c r="M6" s="94"/>
      <c r="N6" s="96">
        <f t="shared" si="4"/>
        <v>1.0188216442568754</v>
      </c>
      <c r="O6" s="94">
        <v>323.44</v>
      </c>
      <c r="P6" s="94">
        <v>3587.72</v>
      </c>
      <c r="Q6" s="94">
        <v>6.14</v>
      </c>
      <c r="R6" s="26">
        <f t="shared" si="5"/>
        <v>1.2846050679769347</v>
      </c>
      <c r="S6" s="113">
        <f t="shared" si="6"/>
        <v>1</v>
      </c>
      <c r="T6" s="26">
        <f t="shared" si="7"/>
        <v>1</v>
      </c>
      <c r="U6" s="24"/>
      <c r="V6" s="24"/>
      <c r="W6" s="26">
        <f t="shared" si="8"/>
        <v>1.0140235539735052</v>
      </c>
      <c r="X6" s="24">
        <f t="shared" si="9"/>
        <v>836.8184071053344</v>
      </c>
      <c r="Y6" s="26">
        <f t="shared" si="10"/>
        <v>1.055997821761752</v>
      </c>
      <c r="Z6" s="25">
        <f>SUM(НПn2017!N6)</f>
        <v>644.7290267251436</v>
      </c>
      <c r="AA6" s="26">
        <f t="shared" si="11"/>
        <v>0.4837314753303987</v>
      </c>
      <c r="AB6" s="26">
        <f t="shared" si="12"/>
        <v>0.4580799935016677</v>
      </c>
      <c r="AC6" s="24">
        <f>SUM(ПНД!M13)</f>
        <v>625.6</v>
      </c>
      <c r="AD6" s="35"/>
      <c r="AE6" s="25">
        <f t="shared" si="1"/>
        <v>10.2471954461679</v>
      </c>
      <c r="AF6" s="24">
        <f t="shared" si="13"/>
        <v>14034.152465849433</v>
      </c>
      <c r="AG6" s="30">
        <f t="shared" si="14"/>
        <v>14034.152465849433</v>
      </c>
      <c r="AH6" s="98"/>
      <c r="AI6" s="30">
        <f t="shared" si="15"/>
        <v>1416.6364133406232</v>
      </c>
      <c r="AJ6" s="115">
        <f t="shared" si="16"/>
        <v>15450.788879190055</v>
      </c>
      <c r="AK6" s="115">
        <v>15450.8</v>
      </c>
    </row>
    <row r="7" spans="1:37" s="101" customFormat="1" ht="18.75">
      <c r="A7" s="19" t="s">
        <v>5</v>
      </c>
      <c r="B7" s="102">
        <v>1011</v>
      </c>
      <c r="C7" s="102">
        <v>1011</v>
      </c>
      <c r="D7" s="102">
        <v>295</v>
      </c>
      <c r="E7" s="26">
        <f t="shared" si="2"/>
        <v>1.0557124534499418</v>
      </c>
      <c r="F7" s="94">
        <v>23.04</v>
      </c>
      <c r="G7" s="26">
        <f t="shared" si="3"/>
        <v>1.0412085761657737</v>
      </c>
      <c r="H7" s="95"/>
      <c r="I7" s="24"/>
      <c r="J7" s="26">
        <f t="shared" si="0"/>
        <v>1.1015166501813387</v>
      </c>
      <c r="K7" s="94"/>
      <c r="L7" s="94"/>
      <c r="M7" s="94"/>
      <c r="N7" s="96">
        <f t="shared" si="4"/>
        <v>1.0588142557426605</v>
      </c>
      <c r="O7" s="94">
        <v>206.11</v>
      </c>
      <c r="P7" s="94">
        <v>4514.66</v>
      </c>
      <c r="Q7" s="94">
        <v>6.14</v>
      </c>
      <c r="R7" s="26">
        <f t="shared" si="5"/>
        <v>1.3087065812227616</v>
      </c>
      <c r="S7" s="113">
        <f t="shared" si="6"/>
        <v>1</v>
      </c>
      <c r="T7" s="26">
        <f t="shared" si="7"/>
        <v>1</v>
      </c>
      <c r="U7" s="24"/>
      <c r="V7" s="24"/>
      <c r="W7" s="26">
        <f t="shared" si="8"/>
        <v>1.015211125488828</v>
      </c>
      <c r="X7" s="24">
        <f t="shared" si="9"/>
        <v>1086.7441323909395</v>
      </c>
      <c r="Y7" s="26">
        <f t="shared" si="10"/>
        <v>1.098735015048296</v>
      </c>
      <c r="Z7" s="25">
        <f>SUM(НПn2017!N7)</f>
        <v>875.4460025667729</v>
      </c>
      <c r="AA7" s="26">
        <f t="shared" si="11"/>
        <v>0.5262478698315233</v>
      </c>
      <c r="AB7" s="26">
        <f t="shared" si="12"/>
        <v>0.4789579494819245</v>
      </c>
      <c r="AC7" s="24">
        <f>SUM(ПНД!M9)</f>
        <v>1658.3</v>
      </c>
      <c r="AD7" s="35"/>
      <c r="AE7" s="25">
        <f t="shared" si="1"/>
        <v>10.2471954461679</v>
      </c>
      <c r="AF7" s="24">
        <f t="shared" si="13"/>
        <v>18186.74716842155</v>
      </c>
      <c r="AG7" s="30">
        <f t="shared" si="14"/>
        <v>18186.74716842155</v>
      </c>
      <c r="AH7" s="98"/>
      <c r="AI7" s="30">
        <f t="shared" si="15"/>
        <v>1768.1721159103336</v>
      </c>
      <c r="AJ7" s="115">
        <f t="shared" si="16"/>
        <v>19954.91928433188</v>
      </c>
      <c r="AK7" s="115">
        <v>19954.9</v>
      </c>
    </row>
    <row r="8" spans="1:37" s="101" customFormat="1" ht="18.75">
      <c r="A8" s="19" t="s">
        <v>6</v>
      </c>
      <c r="B8" s="102">
        <v>1428</v>
      </c>
      <c r="C8" s="102">
        <v>1428</v>
      </c>
      <c r="D8" s="102">
        <v>470</v>
      </c>
      <c r="E8" s="26">
        <f t="shared" si="2"/>
        <v>1.0862295767279209</v>
      </c>
      <c r="F8" s="94">
        <v>26.7</v>
      </c>
      <c r="G8" s="26">
        <f t="shared" si="3"/>
        <v>0.8542588198348885</v>
      </c>
      <c r="H8" s="95"/>
      <c r="I8" s="24"/>
      <c r="J8" s="26">
        <f t="shared" si="0"/>
        <v>1.013468720821662</v>
      </c>
      <c r="K8" s="94"/>
      <c r="L8" s="94"/>
      <c r="M8" s="94"/>
      <c r="N8" s="96">
        <f t="shared" si="4"/>
        <v>1.0208024209771471</v>
      </c>
      <c r="O8" s="94">
        <v>110.71</v>
      </c>
      <c r="P8" s="94">
        <v>3473.78</v>
      </c>
      <c r="Q8" s="94">
        <v>5.43</v>
      </c>
      <c r="R8" s="26">
        <f t="shared" si="5"/>
        <v>0.961718261134945</v>
      </c>
      <c r="S8" s="113">
        <f t="shared" si="6"/>
        <v>1</v>
      </c>
      <c r="T8" s="26">
        <f t="shared" si="7"/>
        <v>1</v>
      </c>
      <c r="U8" s="24"/>
      <c r="V8" s="24"/>
      <c r="W8" s="26">
        <f t="shared" si="8"/>
        <v>0.9981137158414297</v>
      </c>
      <c r="X8" s="24">
        <f t="shared" si="9"/>
        <v>1454.9562096891589</v>
      </c>
      <c r="Y8" s="26">
        <f t="shared" si="10"/>
        <v>1.0414502573106836</v>
      </c>
      <c r="Z8" s="25">
        <f>SUM(НПn2017!N8)</f>
        <v>1887.396914189209</v>
      </c>
      <c r="AA8" s="26">
        <f t="shared" si="11"/>
        <v>0.8032434183609957</v>
      </c>
      <c r="AB8" s="26">
        <f t="shared" si="12"/>
        <v>0.7712739160823631</v>
      </c>
      <c r="AC8" s="24">
        <f>SUM(ПНД!M14)</f>
        <v>1779.1</v>
      </c>
      <c r="AD8" s="35"/>
      <c r="AE8" s="25">
        <f t="shared" si="1"/>
        <v>10.2471954461679</v>
      </c>
      <c r="AF8" s="24">
        <f t="shared" si="13"/>
        <v>23620.163160104392</v>
      </c>
      <c r="AG8" s="30">
        <f t="shared" si="14"/>
        <v>23620.163160104392</v>
      </c>
      <c r="AH8" s="98"/>
      <c r="AI8" s="30">
        <f t="shared" si="15"/>
        <v>2497.47752870421</v>
      </c>
      <c r="AJ8" s="115">
        <f t="shared" si="16"/>
        <v>26117.640688808602</v>
      </c>
      <c r="AK8" s="115">
        <v>26117.6</v>
      </c>
    </row>
    <row r="9" spans="1:37" s="101" customFormat="1" ht="18.75">
      <c r="A9" s="19" t="s">
        <v>7</v>
      </c>
      <c r="B9" s="102">
        <v>3207</v>
      </c>
      <c r="C9" s="102">
        <v>3207</v>
      </c>
      <c r="D9" s="102">
        <v>949</v>
      </c>
      <c r="E9" s="26">
        <f t="shared" si="2"/>
        <v>1.0590835005975814</v>
      </c>
      <c r="F9" s="94">
        <v>69.85</v>
      </c>
      <c r="G9" s="26">
        <f t="shared" si="3"/>
        <v>0.9951163640338121</v>
      </c>
      <c r="H9" s="95"/>
      <c r="I9" s="24"/>
      <c r="J9" s="26">
        <f t="shared" si="0"/>
        <v>0.8950524893462218</v>
      </c>
      <c r="K9" s="94"/>
      <c r="L9" s="94"/>
      <c r="M9" s="94"/>
      <c r="N9" s="96">
        <f t="shared" si="4"/>
        <v>0.9527605842454216</v>
      </c>
      <c r="O9" s="94">
        <v>206.11</v>
      </c>
      <c r="P9" s="94">
        <v>3243.13</v>
      </c>
      <c r="Q9" s="94">
        <v>5.43</v>
      </c>
      <c r="R9" s="26">
        <f t="shared" si="5"/>
        <v>1.0435992464495634</v>
      </c>
      <c r="S9" s="113">
        <f t="shared" si="6"/>
        <v>1</v>
      </c>
      <c r="T9" s="26">
        <f t="shared" si="7"/>
        <v>1</v>
      </c>
      <c r="U9" s="24"/>
      <c r="V9" s="24"/>
      <c r="W9" s="26">
        <f t="shared" si="8"/>
        <v>1.0021482976045921</v>
      </c>
      <c r="X9" s="24">
        <f t="shared" si="9"/>
        <v>3062.067323866863</v>
      </c>
      <c r="Y9" s="26">
        <f t="shared" si="10"/>
        <v>0.9759612885868616</v>
      </c>
      <c r="Z9" s="25">
        <f>SUM(НПn2017!N9)</f>
        <v>3346.9092740623596</v>
      </c>
      <c r="AA9" s="26">
        <f t="shared" si="11"/>
        <v>0.6342451026543834</v>
      </c>
      <c r="AB9" s="26">
        <f t="shared" si="12"/>
        <v>0.6498670695973356</v>
      </c>
      <c r="AC9" s="24">
        <f>SUM(ПНД!M12)</f>
        <v>3397.4</v>
      </c>
      <c r="AD9" s="35"/>
      <c r="AE9" s="25">
        <f t="shared" si="1"/>
        <v>10.2471954461679</v>
      </c>
      <c r="AF9" s="24">
        <f t="shared" si="13"/>
        <v>50347.3486249661</v>
      </c>
      <c r="AG9" s="30">
        <f t="shared" si="14"/>
        <v>50347.3486249661</v>
      </c>
      <c r="AH9" s="98"/>
      <c r="AI9" s="30">
        <f t="shared" si="15"/>
        <v>5608.83083652269</v>
      </c>
      <c r="AJ9" s="115">
        <f t="shared" si="16"/>
        <v>55956.17946148879</v>
      </c>
      <c r="AK9" s="115">
        <v>55956.2</v>
      </c>
    </row>
    <row r="10" spans="1:37" s="101" customFormat="1" ht="18.75">
      <c r="A10" s="19" t="s">
        <v>8</v>
      </c>
      <c r="B10" s="102">
        <v>824</v>
      </c>
      <c r="C10" s="102">
        <v>824</v>
      </c>
      <c r="D10" s="102">
        <v>257</v>
      </c>
      <c r="E10" s="26">
        <f t="shared" si="2"/>
        <v>1.072141496828826</v>
      </c>
      <c r="F10" s="94">
        <v>19.86</v>
      </c>
      <c r="G10" s="26">
        <f t="shared" si="3"/>
        <v>1.1011803421340598</v>
      </c>
      <c r="H10" s="95"/>
      <c r="I10" s="24"/>
      <c r="J10" s="26">
        <f t="shared" si="0"/>
        <v>1.1699433656957927</v>
      </c>
      <c r="K10" s="94"/>
      <c r="L10" s="94"/>
      <c r="M10" s="94"/>
      <c r="N10" s="96">
        <f t="shared" si="4"/>
        <v>1.1030495354859757</v>
      </c>
      <c r="O10" s="94">
        <v>110.71</v>
      </c>
      <c r="P10" s="94">
        <v>3823.98</v>
      </c>
      <c r="Q10" s="94">
        <v>6.14</v>
      </c>
      <c r="R10" s="26">
        <f t="shared" si="5"/>
        <v>1.048072479519952</v>
      </c>
      <c r="S10" s="113">
        <f t="shared" si="6"/>
        <v>1</v>
      </c>
      <c r="T10" s="26">
        <f t="shared" si="7"/>
        <v>1</v>
      </c>
      <c r="U10" s="24"/>
      <c r="V10" s="24"/>
      <c r="W10" s="26">
        <f t="shared" si="8"/>
        <v>1.0023687104940904</v>
      </c>
      <c r="X10" s="24">
        <f t="shared" si="9"/>
        <v>911.0657685688548</v>
      </c>
      <c r="Y10" s="26">
        <f t="shared" si="10"/>
        <v>1.130158443858192</v>
      </c>
      <c r="Z10" s="25">
        <f>SUM(НПn2017!N10)</f>
        <v>497.1123977553023</v>
      </c>
      <c r="AA10" s="26">
        <f t="shared" si="11"/>
        <v>0.3666397306335542</v>
      </c>
      <c r="AB10" s="26">
        <f t="shared" si="12"/>
        <v>0.32441445058084156</v>
      </c>
      <c r="AC10" s="24">
        <f>SUM(ПНД!M10)</f>
        <v>712.6</v>
      </c>
      <c r="AD10" s="35"/>
      <c r="AE10" s="25">
        <f t="shared" si="1"/>
        <v>10.2471954461679</v>
      </c>
      <c r="AF10" s="24">
        <f t="shared" si="13"/>
        <v>15487.97541481513</v>
      </c>
      <c r="AG10" s="30">
        <f t="shared" si="14"/>
        <v>15487.97541481513</v>
      </c>
      <c r="AH10" s="98"/>
      <c r="AI10" s="30">
        <f t="shared" si="15"/>
        <v>1441.121487151449</v>
      </c>
      <c r="AJ10" s="115">
        <f t="shared" si="16"/>
        <v>16929.09690196658</v>
      </c>
      <c r="AK10" s="115">
        <v>16929.1</v>
      </c>
    </row>
    <row r="11" spans="1:37" s="101" customFormat="1" ht="18.75">
      <c r="A11" s="19" t="s">
        <v>9</v>
      </c>
      <c r="B11" s="102">
        <v>1088</v>
      </c>
      <c r="C11" s="102">
        <v>1088</v>
      </c>
      <c r="D11" s="102">
        <v>262</v>
      </c>
      <c r="E11" s="26">
        <f t="shared" si="2"/>
        <v>1.0140479616779687</v>
      </c>
      <c r="F11" s="94">
        <v>16.96</v>
      </c>
      <c r="G11" s="26">
        <f t="shared" si="3"/>
        <v>0.7122022969859408</v>
      </c>
      <c r="H11" s="95"/>
      <c r="I11" s="24"/>
      <c r="J11" s="26">
        <f t="shared" si="0"/>
        <v>1.0801776960784313</v>
      </c>
      <c r="K11" s="94"/>
      <c r="L11" s="94"/>
      <c r="M11" s="94"/>
      <c r="N11" s="96">
        <f t="shared" si="4"/>
        <v>1.0190362563508466</v>
      </c>
      <c r="O11" s="94">
        <v>110.71</v>
      </c>
      <c r="P11" s="94">
        <v>5389.52</v>
      </c>
      <c r="Q11" s="94">
        <v>5.43</v>
      </c>
      <c r="R11" s="26">
        <f t="shared" si="5"/>
        <v>1.333403211358549</v>
      </c>
      <c r="S11" s="113">
        <f t="shared" si="6"/>
        <v>1</v>
      </c>
      <c r="T11" s="26">
        <f t="shared" si="7"/>
        <v>1</v>
      </c>
      <c r="U11" s="24"/>
      <c r="V11" s="24"/>
      <c r="W11" s="26">
        <f t="shared" si="8"/>
        <v>1.0164280206345637</v>
      </c>
      <c r="X11" s="24">
        <f t="shared" si="9"/>
        <v>1126.925381437331</v>
      </c>
      <c r="Y11" s="26">
        <f t="shared" si="10"/>
        <v>1.0587247890045752</v>
      </c>
      <c r="Z11" s="25">
        <f>SUM(НПn2017!N11)</f>
        <v>711.2555181869949</v>
      </c>
      <c r="AA11" s="26">
        <f t="shared" si="11"/>
        <v>0.39729115464179626</v>
      </c>
      <c r="AB11" s="26">
        <f t="shared" si="12"/>
        <v>0.3752544181149606</v>
      </c>
      <c r="AC11" s="24">
        <f>SUM(ПНД!M15)</f>
        <v>844</v>
      </c>
      <c r="AD11" s="35"/>
      <c r="AE11" s="25">
        <f t="shared" si="1"/>
        <v>10.2471954461679</v>
      </c>
      <c r="AF11" s="24">
        <f t="shared" si="13"/>
        <v>19059.400145296986</v>
      </c>
      <c r="AG11" s="30">
        <f t="shared" si="14"/>
        <v>19059.400145296986</v>
      </c>
      <c r="AH11" s="98"/>
      <c r="AI11" s="30">
        <f t="shared" si="15"/>
        <v>1902.8400218698741</v>
      </c>
      <c r="AJ11" s="115">
        <f t="shared" si="16"/>
        <v>20962.24016716686</v>
      </c>
      <c r="AK11" s="115">
        <v>20962.2</v>
      </c>
    </row>
    <row r="12" spans="1:37" s="101" customFormat="1" ht="18.75">
      <c r="A12" s="19" t="s">
        <v>10</v>
      </c>
      <c r="B12" s="102">
        <v>1288</v>
      </c>
      <c r="C12" s="102">
        <v>1288</v>
      </c>
      <c r="D12" s="102">
        <v>416</v>
      </c>
      <c r="E12" s="26">
        <f t="shared" si="2"/>
        <v>1.0812032704444408</v>
      </c>
      <c r="F12" s="94">
        <v>33.1</v>
      </c>
      <c r="G12" s="26">
        <f t="shared" si="3"/>
        <v>1.1741363896460475</v>
      </c>
      <c r="H12" s="95"/>
      <c r="I12" s="24"/>
      <c r="J12" s="26">
        <f t="shared" si="0"/>
        <v>1.0366718426501036</v>
      </c>
      <c r="K12" s="94"/>
      <c r="L12" s="94"/>
      <c r="M12" s="94"/>
      <c r="N12" s="96">
        <f t="shared" si="4"/>
        <v>1.0409262814827074</v>
      </c>
      <c r="O12" s="94">
        <v>110.71</v>
      </c>
      <c r="P12" s="94">
        <v>3823.98</v>
      </c>
      <c r="Q12" s="94">
        <v>6.14</v>
      </c>
      <c r="R12" s="26">
        <f t="shared" si="5"/>
        <v>1.048072479519952</v>
      </c>
      <c r="S12" s="113">
        <f t="shared" si="6"/>
        <v>1</v>
      </c>
      <c r="T12" s="26">
        <f t="shared" si="7"/>
        <v>1</v>
      </c>
      <c r="U12" s="24"/>
      <c r="V12" s="24"/>
      <c r="W12" s="26">
        <f t="shared" si="8"/>
        <v>1.0023687104940904</v>
      </c>
      <c r="X12" s="24">
        <f t="shared" si="9"/>
        <v>1343.8888116221283</v>
      </c>
      <c r="Y12" s="26">
        <f t="shared" si="10"/>
        <v>1.0665084283212118</v>
      </c>
      <c r="Z12" s="25">
        <f>SUM(НПn2017!N12)</f>
        <v>1932.4813125977</v>
      </c>
      <c r="AA12" s="26">
        <f t="shared" si="11"/>
        <v>0.9118251827802593</v>
      </c>
      <c r="AB12" s="26">
        <f t="shared" si="12"/>
        <v>0.8549629412826685</v>
      </c>
      <c r="AC12" s="24">
        <f>SUM(ПНД!M11)</f>
        <v>2051</v>
      </c>
      <c r="AD12" s="35"/>
      <c r="AE12" s="25">
        <f t="shared" si="1"/>
        <v>10.2471954461679</v>
      </c>
      <c r="AF12" s="24">
        <f t="shared" si="13"/>
        <v>21624.381191966993</v>
      </c>
      <c r="AG12" s="30">
        <f t="shared" si="14"/>
        <v>21624.381191966993</v>
      </c>
      <c r="AH12" s="98"/>
      <c r="AI12" s="30">
        <f t="shared" si="15"/>
        <v>2252.626790595954</v>
      </c>
      <c r="AJ12" s="115">
        <f t="shared" si="16"/>
        <v>23877.007982562947</v>
      </c>
      <c r="AK12" s="115">
        <v>23877</v>
      </c>
    </row>
    <row r="13" spans="1:37" s="101" customFormat="1" ht="18.75">
      <c r="A13" s="19" t="s">
        <v>11</v>
      </c>
      <c r="B13" s="102">
        <v>792</v>
      </c>
      <c r="C13" s="102">
        <v>792</v>
      </c>
      <c r="D13" s="102">
        <v>0</v>
      </c>
      <c r="E13" s="26">
        <f t="shared" si="2"/>
        <v>0.8172475424486149</v>
      </c>
      <c r="F13" s="94">
        <v>14.14</v>
      </c>
      <c r="G13" s="26">
        <f t="shared" si="3"/>
        <v>0.8157003437653919</v>
      </c>
      <c r="H13" s="95"/>
      <c r="I13" s="24"/>
      <c r="J13" s="26">
        <f t="shared" si="0"/>
        <v>1.1848905723905723</v>
      </c>
      <c r="K13" s="94"/>
      <c r="L13" s="94"/>
      <c r="M13" s="94"/>
      <c r="N13" s="96">
        <f t="shared" si="4"/>
        <v>0.990545353975248</v>
      </c>
      <c r="O13" s="94">
        <v>110.71</v>
      </c>
      <c r="P13" s="94">
        <v>4514.66</v>
      </c>
      <c r="Q13" s="94">
        <v>6.14</v>
      </c>
      <c r="R13" s="26">
        <f t="shared" si="5"/>
        <v>1.1820757166087212</v>
      </c>
      <c r="S13" s="113">
        <f t="shared" si="6"/>
        <v>1</v>
      </c>
      <c r="T13" s="26">
        <f t="shared" si="7"/>
        <v>1</v>
      </c>
      <c r="U13" s="24"/>
      <c r="V13" s="24"/>
      <c r="W13" s="26">
        <f t="shared" si="8"/>
        <v>1.0089715501458811</v>
      </c>
      <c r="X13" s="24">
        <f t="shared" si="9"/>
        <v>791.5502083818436</v>
      </c>
      <c r="Y13" s="26">
        <f t="shared" si="10"/>
        <v>1.0215746384434201</v>
      </c>
      <c r="Z13" s="25">
        <f>SUM(НПn2017!N13)</f>
        <v>888.0130172362352</v>
      </c>
      <c r="AA13" s="26">
        <f t="shared" si="11"/>
        <v>0.6814065328590659</v>
      </c>
      <c r="AB13" s="26">
        <f t="shared" si="12"/>
        <v>0.6670159058542502</v>
      </c>
      <c r="AC13" s="24">
        <f>SUM(ПНД!M8)</f>
        <v>1165</v>
      </c>
      <c r="AD13" s="35"/>
      <c r="AE13" s="25">
        <f t="shared" si="1"/>
        <v>10.2471954461679</v>
      </c>
      <c r="AF13" s="24">
        <f t="shared" si="13"/>
        <v>12991.629625583197</v>
      </c>
      <c r="AG13" s="30">
        <f t="shared" si="14"/>
        <v>12991.629625583197</v>
      </c>
      <c r="AH13" s="98"/>
      <c r="AI13" s="30">
        <f t="shared" si="15"/>
        <v>1385.155604155276</v>
      </c>
      <c r="AJ13" s="115">
        <f t="shared" si="16"/>
        <v>14376.785229738472</v>
      </c>
      <c r="AK13" s="115">
        <v>14376.8</v>
      </c>
    </row>
    <row r="14" spans="1:37" s="101" customFormat="1" ht="18.75">
      <c r="A14" s="19" t="s">
        <v>12</v>
      </c>
      <c r="B14" s="102">
        <v>284</v>
      </c>
      <c r="C14" s="102">
        <v>284</v>
      </c>
      <c r="D14" s="102">
        <v>284</v>
      </c>
      <c r="E14" s="26">
        <f t="shared" si="2"/>
        <v>1.6344950848972297</v>
      </c>
      <c r="F14" s="94">
        <v>5.08</v>
      </c>
      <c r="G14" s="26">
        <f t="shared" si="3"/>
        <v>0.8172440920503036</v>
      </c>
      <c r="H14" s="95"/>
      <c r="I14" s="24"/>
      <c r="J14" s="26">
        <f t="shared" si="0"/>
        <v>1.8733568075117368</v>
      </c>
      <c r="K14" s="94"/>
      <c r="L14" s="94"/>
      <c r="M14" s="94"/>
      <c r="N14" s="96">
        <f t="shared" si="4"/>
        <v>1.6997103157534792</v>
      </c>
      <c r="O14" s="94">
        <v>0</v>
      </c>
      <c r="P14" s="94">
        <v>3080.06</v>
      </c>
      <c r="Q14" s="94">
        <v>6.14</v>
      </c>
      <c r="R14" s="26">
        <f t="shared" si="5"/>
        <v>0.7567869482111389</v>
      </c>
      <c r="S14" s="113">
        <f t="shared" si="6"/>
        <v>1</v>
      </c>
      <c r="T14" s="26">
        <f t="shared" si="7"/>
        <v>1</v>
      </c>
      <c r="U14" s="24"/>
      <c r="V14" s="24"/>
      <c r="W14" s="26">
        <f t="shared" si="8"/>
        <v>0.9880159851577262</v>
      </c>
      <c r="X14" s="24">
        <f t="shared" si="9"/>
        <v>476.9328332369463</v>
      </c>
      <c r="Y14" s="26">
        <f t="shared" si="10"/>
        <v>1.7165469953373897</v>
      </c>
      <c r="Z14" s="25">
        <f>SUM(НПn2017!N14)</f>
        <v>292.2629736925687</v>
      </c>
      <c r="AA14" s="26">
        <f t="shared" si="11"/>
        <v>0.6254140035484552</v>
      </c>
      <c r="AB14" s="26">
        <f t="shared" si="12"/>
        <v>0.3643442359849456</v>
      </c>
      <c r="AC14" s="24">
        <f>SUM(ПНД!M16)</f>
        <v>391.8</v>
      </c>
      <c r="AD14" s="35"/>
      <c r="AE14" s="25">
        <f t="shared" si="1"/>
        <v>10.2471954461679</v>
      </c>
      <c r="AF14" s="24">
        <f t="shared" si="13"/>
        <v>8075.157347589879</v>
      </c>
      <c r="AG14" s="30">
        <f t="shared" si="14"/>
        <v>8075.157347589879</v>
      </c>
      <c r="AH14" s="98"/>
      <c r="AI14" s="30">
        <f t="shared" si="15"/>
        <v>496.69721159103335</v>
      </c>
      <c r="AJ14" s="115">
        <f t="shared" si="16"/>
        <v>8571.854559180912</v>
      </c>
      <c r="AK14" s="115">
        <v>8571.9</v>
      </c>
    </row>
    <row r="15" spans="1:37" s="110" customFormat="1" ht="18.75">
      <c r="A15" s="19" t="s">
        <v>13</v>
      </c>
      <c r="B15" s="103">
        <f>SUM(B3:B14)</f>
        <v>18290</v>
      </c>
      <c r="C15" s="103">
        <f>SUM(C3:C14)</f>
        <v>18290</v>
      </c>
      <c r="D15" s="103">
        <f>SUM(D3:D14)</f>
        <v>4090</v>
      </c>
      <c r="E15" s="104">
        <f t="shared" si="2"/>
        <v>1</v>
      </c>
      <c r="F15" s="105">
        <f>SUM(F3:F14)</f>
        <v>400.31999999999994</v>
      </c>
      <c r="G15" s="104">
        <f t="shared" si="3"/>
        <v>1</v>
      </c>
      <c r="H15" s="103">
        <f>B15/12</f>
        <v>1524.1666666666667</v>
      </c>
      <c r="I15" s="114">
        <v>0.8</v>
      </c>
      <c r="J15" s="104">
        <f t="shared" si="0"/>
        <v>0.8166666666666667</v>
      </c>
      <c r="K15" s="105">
        <f>SUM('а1 а2 а3'!O17)</f>
        <v>0.5135150124480378</v>
      </c>
      <c r="L15" s="105">
        <f>SUM('а1 а2 а3'!O24)</f>
        <v>0.0324987141435525</v>
      </c>
      <c r="M15" s="105">
        <f>SUM('а1 а2 а3'!O29)</f>
        <v>0.4350909928469671</v>
      </c>
      <c r="N15" s="96">
        <f>SUM(K$15*J15+L$15*G15+M$15*E15)</f>
        <v>0.8869603004897504</v>
      </c>
      <c r="O15" s="105">
        <f>SUM(O3:O14)/12</f>
        <v>150.67416666666668</v>
      </c>
      <c r="P15" s="105">
        <f>SUM(P3:P14)/12</f>
        <v>3350.2324999999996</v>
      </c>
      <c r="Q15" s="105">
        <f>SUM(Q3:Q14)/12</f>
        <v>5.785</v>
      </c>
      <c r="R15" s="104">
        <f t="shared" si="5"/>
        <v>1</v>
      </c>
      <c r="S15" s="114">
        <f t="shared" si="6"/>
        <v>1</v>
      </c>
      <c r="T15" s="104">
        <f t="shared" si="7"/>
        <v>1</v>
      </c>
      <c r="U15" s="105">
        <f>SUM('q1q2'!O26)</f>
        <v>0.4772492775168167</v>
      </c>
      <c r="V15" s="105">
        <f>SUM('q1q2'!O27)</f>
        <v>0.04927373245033542</v>
      </c>
      <c r="W15" s="104">
        <f t="shared" si="8"/>
        <v>1</v>
      </c>
      <c r="X15" s="27">
        <f>SUM(X3:X14)</f>
        <v>17893.565559390394</v>
      </c>
      <c r="Y15" s="104">
        <f t="shared" si="10"/>
        <v>0.906611029652729</v>
      </c>
      <c r="Z15" s="28">
        <f>SUM(Z3:Z14)</f>
        <v>30095.50000000001</v>
      </c>
      <c r="AA15" s="26">
        <f t="shared" si="11"/>
        <v>1</v>
      </c>
      <c r="AB15" s="26">
        <f t="shared" si="12"/>
        <v>1.103008861896422</v>
      </c>
      <c r="AC15" s="27">
        <f>SUM(AC3:AC14)</f>
        <v>30655.499999999996</v>
      </c>
      <c r="AD15" s="37">
        <v>283477.4</v>
      </c>
      <c r="AE15" s="28">
        <f t="shared" si="1"/>
        <v>10.2471954461679</v>
      </c>
      <c r="AF15" s="27">
        <f>SUM(AF3:AF14)</f>
        <v>283477.4</v>
      </c>
      <c r="AG15" s="31">
        <f>SUM(AG3:AG14)</f>
        <v>283477.4</v>
      </c>
      <c r="AH15" s="37">
        <v>31988</v>
      </c>
      <c r="AI15" s="31">
        <f>SUM(AI3:AI14)</f>
        <v>31988</v>
      </c>
      <c r="AJ15" s="116">
        <f>SUM(AJ3:AJ14)</f>
        <v>315465.39999999997</v>
      </c>
      <c r="AK15" s="116">
        <f>SUM(AK3:AK14)</f>
        <v>315465.4</v>
      </c>
    </row>
    <row r="16" ht="23.25" customHeight="1"/>
    <row r="19" spans="18:28" ht="12.75">
      <c r="R19" s="146" t="s">
        <v>136</v>
      </c>
      <c r="S19" s="146"/>
      <c r="T19" s="146"/>
      <c r="U19" s="146"/>
      <c r="V19" s="146"/>
      <c r="W19" s="146"/>
      <c r="X19" s="146"/>
      <c r="Y19" s="146"/>
      <c r="Z19" s="146"/>
      <c r="AA19" s="146"/>
      <c r="AB19" s="146"/>
    </row>
    <row r="20" spans="18:28" ht="12.75"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</row>
    <row r="21" spans="18:28" ht="12.75"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</row>
  </sheetData>
  <sheetProtection/>
  <mergeCells count="2">
    <mergeCell ref="A1:AJ1"/>
    <mergeCell ref="R19:AB21"/>
  </mergeCell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paperSize="9" scale="27" r:id="rId1"/>
  <colBreaks count="1" manualBreakCount="1">
    <brk id="17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7.8515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0" bestFit="1" customWidth="1"/>
    <col min="17" max="16384" width="9.140625" style="2" customWidth="1"/>
  </cols>
  <sheetData>
    <row r="1" spans="1:16" s="15" customFormat="1" ht="24.75" customHeight="1">
      <c r="A1" s="147" t="s">
        <v>123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36"/>
    </row>
    <row r="2" spans="1:16" s="7" customFormat="1" ht="51">
      <c r="A2" s="6" t="s">
        <v>0</v>
      </c>
      <c r="B2" s="14" t="s">
        <v>36</v>
      </c>
      <c r="C2" s="14" t="s">
        <v>37</v>
      </c>
      <c r="D2" s="14" t="s">
        <v>38</v>
      </c>
      <c r="E2" s="20" t="s">
        <v>39</v>
      </c>
      <c r="F2" s="14" t="s">
        <v>43</v>
      </c>
      <c r="G2" s="14" t="s">
        <v>40</v>
      </c>
      <c r="H2" s="14" t="s">
        <v>41</v>
      </c>
      <c r="I2" s="20" t="s">
        <v>42</v>
      </c>
      <c r="J2" s="14" t="s">
        <v>44</v>
      </c>
      <c r="K2" s="14" t="s">
        <v>45</v>
      </c>
      <c r="L2" s="14" t="s">
        <v>46</v>
      </c>
      <c r="M2" s="20" t="s">
        <v>47</v>
      </c>
      <c r="N2" s="22" t="s">
        <v>14</v>
      </c>
      <c r="P2" s="11"/>
    </row>
    <row r="3" spans="1:16" s="80" customFormat="1" ht="18.75">
      <c r="A3" s="3" t="s">
        <v>1</v>
      </c>
      <c r="B3" s="117">
        <v>62807</v>
      </c>
      <c r="C3" s="24">
        <v>0.1</v>
      </c>
      <c r="D3" s="117">
        <v>128925.8</v>
      </c>
      <c r="E3" s="74">
        <f>B$15*C$15*(D3/D$15)</f>
        <v>8079.870839322785</v>
      </c>
      <c r="F3" s="117">
        <v>1104</v>
      </c>
      <c r="G3" s="24">
        <v>1</v>
      </c>
      <c r="H3" s="117">
        <v>1046</v>
      </c>
      <c r="I3" s="74">
        <f>F$15*G$15*(H3/H$15)</f>
        <v>1110.594706798132</v>
      </c>
      <c r="J3" s="117">
        <v>4116</v>
      </c>
      <c r="K3" s="24">
        <v>1</v>
      </c>
      <c r="L3" s="117">
        <v>2555</v>
      </c>
      <c r="M3" s="74">
        <f>J$15*K$15*(L3/L$15)</f>
        <v>4258.922722029988</v>
      </c>
      <c r="N3" s="79">
        <f>SUM(E3+I3+M3)</f>
        <v>13449.388268150906</v>
      </c>
      <c r="P3" s="81"/>
    </row>
    <row r="4" spans="1:16" s="80" customFormat="1" ht="18.75">
      <c r="A4" s="3" t="s">
        <v>2</v>
      </c>
      <c r="B4" s="117">
        <v>26719</v>
      </c>
      <c r="C4" s="24">
        <v>0.1</v>
      </c>
      <c r="D4" s="117">
        <v>37551.5</v>
      </c>
      <c r="E4" s="74">
        <f aca="true" t="shared" si="0" ref="E4:E14">B$15*C$15*(D4/D$15)</f>
        <v>2353.378996467965</v>
      </c>
      <c r="F4" s="117">
        <v>109</v>
      </c>
      <c r="G4" s="24">
        <v>1</v>
      </c>
      <c r="H4" s="117">
        <v>94</v>
      </c>
      <c r="I4" s="74">
        <f aca="true" t="shared" si="1" ref="I4:I14">F$15*G$15*(H4/H$15)</f>
        <v>99.8048780487805</v>
      </c>
      <c r="J4" s="117">
        <v>612</v>
      </c>
      <c r="K4" s="24">
        <v>1</v>
      </c>
      <c r="L4" s="117">
        <v>47</v>
      </c>
      <c r="M4" s="74">
        <f aca="true" t="shared" si="2" ref="M4:M14">J$15*K$15*(L4/L$15)</f>
        <v>78.3441753171857</v>
      </c>
      <c r="N4" s="79">
        <f aca="true" t="shared" si="3" ref="N4:N14">SUM(E4+I4+M4)</f>
        <v>2531.528049833931</v>
      </c>
      <c r="P4" s="81"/>
    </row>
    <row r="5" spans="1:16" s="80" customFormat="1" ht="18.75">
      <c r="A5" s="3" t="s">
        <v>3</v>
      </c>
      <c r="B5" s="117">
        <v>18992</v>
      </c>
      <c r="C5" s="24">
        <v>0.1</v>
      </c>
      <c r="D5" s="117">
        <v>26273.4</v>
      </c>
      <c r="E5" s="74">
        <f t="shared" si="0"/>
        <v>1646.5725131033764</v>
      </c>
      <c r="F5" s="117">
        <v>109</v>
      </c>
      <c r="G5" s="24">
        <v>1</v>
      </c>
      <c r="H5" s="117">
        <v>80</v>
      </c>
      <c r="I5" s="74">
        <f t="shared" si="1"/>
        <v>84.94032174364297</v>
      </c>
      <c r="J5" s="117">
        <v>207</v>
      </c>
      <c r="K5" s="24">
        <v>1</v>
      </c>
      <c r="L5" s="117">
        <v>115</v>
      </c>
      <c r="M5" s="74">
        <f t="shared" si="2"/>
        <v>191.69319492502885</v>
      </c>
      <c r="N5" s="79">
        <f t="shared" si="3"/>
        <v>1923.2060297720482</v>
      </c>
      <c r="P5" s="81"/>
    </row>
    <row r="6" spans="1:16" s="80" customFormat="1" ht="18.75">
      <c r="A6" s="3" t="s">
        <v>4</v>
      </c>
      <c r="B6" s="117">
        <v>3947</v>
      </c>
      <c r="C6" s="24">
        <v>0.1</v>
      </c>
      <c r="D6" s="117">
        <v>5859.6</v>
      </c>
      <c r="E6" s="74">
        <f t="shared" si="0"/>
        <v>367.2252657737691</v>
      </c>
      <c r="F6" s="117">
        <v>108</v>
      </c>
      <c r="G6" s="24">
        <v>1</v>
      </c>
      <c r="H6" s="117">
        <v>103</v>
      </c>
      <c r="I6" s="74">
        <f t="shared" si="1"/>
        <v>109.36066424494032</v>
      </c>
      <c r="J6" s="117">
        <v>326</v>
      </c>
      <c r="K6" s="24">
        <v>1</v>
      </c>
      <c r="L6" s="117">
        <v>70</v>
      </c>
      <c r="M6" s="74">
        <f t="shared" si="2"/>
        <v>116.68281430219146</v>
      </c>
      <c r="N6" s="79">
        <f t="shared" si="3"/>
        <v>593.2687443209009</v>
      </c>
      <c r="P6" s="81"/>
    </row>
    <row r="7" spans="1:16" s="80" customFormat="1" ht="18.75">
      <c r="A7" s="3" t="s">
        <v>5</v>
      </c>
      <c r="B7" s="117">
        <v>8567</v>
      </c>
      <c r="C7" s="24">
        <v>0.1</v>
      </c>
      <c r="D7" s="117">
        <v>6791.7</v>
      </c>
      <c r="E7" s="74">
        <f t="shared" si="0"/>
        <v>425.6406303426355</v>
      </c>
      <c r="F7" s="117">
        <v>99</v>
      </c>
      <c r="G7" s="24">
        <v>1</v>
      </c>
      <c r="H7" s="117">
        <v>98</v>
      </c>
      <c r="I7" s="74">
        <f t="shared" si="1"/>
        <v>104.05189413596264</v>
      </c>
      <c r="J7" s="117">
        <v>311</v>
      </c>
      <c r="K7" s="24">
        <v>1</v>
      </c>
      <c r="L7" s="117">
        <v>179</v>
      </c>
      <c r="M7" s="74">
        <f t="shared" si="2"/>
        <v>298.3746251441753</v>
      </c>
      <c r="N7" s="79">
        <f t="shared" si="3"/>
        <v>828.0671496227735</v>
      </c>
      <c r="P7" s="81"/>
    </row>
    <row r="8" spans="1:16" s="80" customFormat="1" ht="18.75">
      <c r="A8" s="3" t="s">
        <v>6</v>
      </c>
      <c r="B8" s="117">
        <v>19482</v>
      </c>
      <c r="C8" s="24">
        <v>0.1</v>
      </c>
      <c r="D8" s="117">
        <v>23348.3</v>
      </c>
      <c r="E8" s="74">
        <f t="shared" si="0"/>
        <v>1463.2544325322021</v>
      </c>
      <c r="F8" s="117">
        <v>77</v>
      </c>
      <c r="G8" s="24">
        <v>1</v>
      </c>
      <c r="H8" s="117">
        <v>74</v>
      </c>
      <c r="I8" s="74">
        <f t="shared" si="1"/>
        <v>78.56979761286975</v>
      </c>
      <c r="J8" s="117">
        <v>301</v>
      </c>
      <c r="K8" s="24">
        <v>1</v>
      </c>
      <c r="L8" s="117">
        <v>129</v>
      </c>
      <c r="M8" s="74">
        <f t="shared" si="2"/>
        <v>215.02975778546713</v>
      </c>
      <c r="N8" s="79">
        <f t="shared" si="3"/>
        <v>1756.853987930539</v>
      </c>
      <c r="P8" s="81"/>
    </row>
    <row r="9" spans="1:16" s="80" customFormat="1" ht="18.75">
      <c r="A9" s="3" t="s">
        <v>15</v>
      </c>
      <c r="B9" s="117">
        <v>21994</v>
      </c>
      <c r="C9" s="24">
        <v>0.1</v>
      </c>
      <c r="D9" s="117">
        <v>31036.4</v>
      </c>
      <c r="E9" s="74">
        <f t="shared" si="0"/>
        <v>1945.0730832584145</v>
      </c>
      <c r="F9" s="117">
        <v>200</v>
      </c>
      <c r="G9" s="24">
        <v>1</v>
      </c>
      <c r="H9" s="117">
        <v>219</v>
      </c>
      <c r="I9" s="74">
        <f t="shared" si="1"/>
        <v>232.52413077322262</v>
      </c>
      <c r="J9" s="117">
        <v>278</v>
      </c>
      <c r="K9" s="24">
        <v>1</v>
      </c>
      <c r="L9" s="117">
        <v>597</v>
      </c>
      <c r="M9" s="74">
        <f t="shared" si="2"/>
        <v>995.1377162629758</v>
      </c>
      <c r="N9" s="79">
        <f t="shared" si="3"/>
        <v>3172.734930294613</v>
      </c>
      <c r="P9" s="81"/>
    </row>
    <row r="10" spans="1:16" s="80" customFormat="1" ht="18.75">
      <c r="A10" s="3" t="s">
        <v>8</v>
      </c>
      <c r="B10" s="117">
        <v>4082</v>
      </c>
      <c r="C10" s="24">
        <v>0.1</v>
      </c>
      <c r="D10" s="117">
        <v>6366.2</v>
      </c>
      <c r="E10" s="74">
        <f t="shared" si="0"/>
        <v>398.9742451650229</v>
      </c>
      <c r="F10" s="117">
        <v>30</v>
      </c>
      <c r="G10" s="24">
        <v>1</v>
      </c>
      <c r="H10" s="117">
        <v>18</v>
      </c>
      <c r="I10" s="74">
        <f t="shared" si="1"/>
        <v>19.11157239231967</v>
      </c>
      <c r="J10" s="117">
        <v>720</v>
      </c>
      <c r="K10" s="24">
        <v>1</v>
      </c>
      <c r="L10" s="117">
        <v>26</v>
      </c>
      <c r="M10" s="74">
        <f t="shared" si="2"/>
        <v>43.33933102652826</v>
      </c>
      <c r="N10" s="79">
        <f t="shared" si="3"/>
        <v>461.42514858387085</v>
      </c>
      <c r="P10" s="81"/>
    </row>
    <row r="11" spans="1:16" s="80" customFormat="1" ht="18.75">
      <c r="A11" s="3" t="s">
        <v>9</v>
      </c>
      <c r="B11" s="117">
        <v>5122</v>
      </c>
      <c r="C11" s="24">
        <v>0.1</v>
      </c>
      <c r="D11" s="117">
        <v>7915.3</v>
      </c>
      <c r="E11" s="74">
        <f t="shared" si="0"/>
        <v>496.0574350090645</v>
      </c>
      <c r="F11" s="117">
        <v>37</v>
      </c>
      <c r="G11" s="24">
        <v>1</v>
      </c>
      <c r="H11" s="117">
        <v>39</v>
      </c>
      <c r="I11" s="74">
        <f t="shared" si="1"/>
        <v>41.40840685002595</v>
      </c>
      <c r="J11" s="117">
        <v>88</v>
      </c>
      <c r="K11" s="24">
        <v>1</v>
      </c>
      <c r="L11" s="117">
        <v>77</v>
      </c>
      <c r="M11" s="74">
        <f t="shared" si="2"/>
        <v>128.3510957324106</v>
      </c>
      <c r="N11" s="79">
        <f t="shared" si="3"/>
        <v>665.8169375915011</v>
      </c>
      <c r="P11" s="81"/>
    </row>
    <row r="12" spans="1:16" s="80" customFormat="1" ht="18.75">
      <c r="A12" s="3" t="s">
        <v>10</v>
      </c>
      <c r="B12" s="117">
        <v>11288</v>
      </c>
      <c r="C12" s="24">
        <v>0.1</v>
      </c>
      <c r="D12" s="117">
        <v>15879.5</v>
      </c>
      <c r="E12" s="74">
        <f t="shared" si="0"/>
        <v>995.1794675156266</v>
      </c>
      <c r="F12" s="117">
        <v>63</v>
      </c>
      <c r="G12" s="24">
        <v>1</v>
      </c>
      <c r="H12" s="117">
        <v>65</v>
      </c>
      <c r="I12" s="74">
        <f t="shared" si="1"/>
        <v>69.01401141670992</v>
      </c>
      <c r="J12" s="117">
        <v>83</v>
      </c>
      <c r="K12" s="24">
        <v>1</v>
      </c>
      <c r="L12" s="117">
        <v>482</v>
      </c>
      <c r="M12" s="74">
        <f t="shared" si="2"/>
        <v>803.444521337947</v>
      </c>
      <c r="N12" s="79">
        <f t="shared" si="3"/>
        <v>1867.6380002702836</v>
      </c>
      <c r="P12" s="81"/>
    </row>
    <row r="13" spans="1:16" s="80" customFormat="1" ht="18.75">
      <c r="A13" s="3" t="s">
        <v>11</v>
      </c>
      <c r="B13" s="117">
        <v>5142</v>
      </c>
      <c r="C13" s="24">
        <v>0.1</v>
      </c>
      <c r="D13" s="117">
        <v>10821.1</v>
      </c>
      <c r="E13" s="74">
        <f t="shared" si="0"/>
        <v>678.1659709646618</v>
      </c>
      <c r="F13" s="117">
        <v>82</v>
      </c>
      <c r="G13" s="24">
        <v>1</v>
      </c>
      <c r="H13" s="117">
        <v>66</v>
      </c>
      <c r="I13" s="74">
        <f t="shared" si="1"/>
        <v>70.07576543850544</v>
      </c>
      <c r="J13" s="117">
        <v>165</v>
      </c>
      <c r="K13" s="24">
        <v>1</v>
      </c>
      <c r="L13" s="117">
        <v>42</v>
      </c>
      <c r="M13" s="74">
        <f t="shared" si="2"/>
        <v>70.00968858131488</v>
      </c>
      <c r="N13" s="79">
        <f t="shared" si="3"/>
        <v>818.2514249844821</v>
      </c>
      <c r="P13" s="81"/>
    </row>
    <row r="14" spans="1:16" s="80" customFormat="1" ht="18.75">
      <c r="A14" s="3" t="s">
        <v>12</v>
      </c>
      <c r="B14" s="117">
        <v>2512</v>
      </c>
      <c r="C14" s="24">
        <v>0.1</v>
      </c>
      <c r="D14" s="117">
        <v>3446.7</v>
      </c>
      <c r="E14" s="74">
        <f t="shared" si="0"/>
        <v>216.0071205444825</v>
      </c>
      <c r="F14" s="117">
        <v>28</v>
      </c>
      <c r="G14" s="24">
        <v>1</v>
      </c>
      <c r="H14" s="117">
        <v>25</v>
      </c>
      <c r="I14" s="74">
        <f t="shared" si="1"/>
        <v>26.54385054488843</v>
      </c>
      <c r="J14" s="117">
        <v>19</v>
      </c>
      <c r="K14" s="24">
        <v>1</v>
      </c>
      <c r="L14" s="117">
        <v>16</v>
      </c>
      <c r="M14" s="74">
        <f t="shared" si="2"/>
        <v>26.67035755478662</v>
      </c>
      <c r="N14" s="79">
        <f t="shared" si="3"/>
        <v>269.22132864415755</v>
      </c>
      <c r="P14" s="81"/>
    </row>
    <row r="15" spans="1:16" s="5" customFormat="1" ht="18.75">
      <c r="A15" s="3" t="s">
        <v>13</v>
      </c>
      <c r="B15" s="75">
        <f>SUM(B3:B14)</f>
        <v>190654</v>
      </c>
      <c r="C15" s="27">
        <v>0.1</v>
      </c>
      <c r="D15" s="75">
        <f>SUM(D3:D14)</f>
        <v>304215.49999999994</v>
      </c>
      <c r="E15" s="28"/>
      <c r="F15" s="75">
        <f>SUM(F3:F14)</f>
        <v>2046</v>
      </c>
      <c r="G15" s="27">
        <v>1</v>
      </c>
      <c r="H15" s="75">
        <f>SUM(H3:H14)</f>
        <v>1927</v>
      </c>
      <c r="I15" s="28"/>
      <c r="J15" s="75">
        <f>SUM(J3:J14)</f>
        <v>7226</v>
      </c>
      <c r="K15" s="27">
        <v>1</v>
      </c>
      <c r="L15" s="75">
        <f>SUM(L3:L14)</f>
        <v>4335</v>
      </c>
      <c r="M15" s="28"/>
      <c r="N15" s="118">
        <f>SUM(N3:N14)</f>
        <v>28337.40000000001</v>
      </c>
      <c r="P15" s="13"/>
    </row>
    <row r="16" ht="23.25" customHeight="1"/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7.8515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0" bestFit="1" customWidth="1"/>
    <col min="17" max="16384" width="9.140625" style="2" customWidth="1"/>
  </cols>
  <sheetData>
    <row r="1" spans="1:14" ht="24.75" customHeight="1">
      <c r="A1" s="147" t="s">
        <v>131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6" s="7" customFormat="1" ht="51">
      <c r="A2" s="6" t="s">
        <v>0</v>
      </c>
      <c r="B2" s="14" t="s">
        <v>36</v>
      </c>
      <c r="C2" s="14" t="s">
        <v>37</v>
      </c>
      <c r="D2" s="14" t="s">
        <v>38</v>
      </c>
      <c r="E2" s="20" t="s">
        <v>39</v>
      </c>
      <c r="F2" s="14" t="s">
        <v>43</v>
      </c>
      <c r="G2" s="14" t="s">
        <v>40</v>
      </c>
      <c r="H2" s="14" t="s">
        <v>41</v>
      </c>
      <c r="I2" s="20" t="s">
        <v>42</v>
      </c>
      <c r="J2" s="14" t="s">
        <v>44</v>
      </c>
      <c r="K2" s="14" t="s">
        <v>45</v>
      </c>
      <c r="L2" s="14" t="s">
        <v>46</v>
      </c>
      <c r="M2" s="20" t="s">
        <v>47</v>
      </c>
      <c r="N2" s="22" t="s">
        <v>14</v>
      </c>
      <c r="P2" s="11"/>
    </row>
    <row r="3" spans="1:16" s="80" customFormat="1" ht="18.75">
      <c r="A3" s="3" t="s">
        <v>1</v>
      </c>
      <c r="B3" s="117">
        <v>65508</v>
      </c>
      <c r="C3" s="24">
        <v>0.1</v>
      </c>
      <c r="D3" s="117">
        <v>128925.8</v>
      </c>
      <c r="E3" s="74">
        <f>B$15*C$15*(D3/D$15)</f>
        <v>8427.088216280896</v>
      </c>
      <c r="F3" s="117">
        <v>1338</v>
      </c>
      <c r="G3" s="24">
        <v>1</v>
      </c>
      <c r="H3" s="117">
        <v>1046</v>
      </c>
      <c r="I3" s="74">
        <f>F$15*G$15*(H3/H$15)</f>
        <v>1345.6325895173845</v>
      </c>
      <c r="J3" s="117">
        <v>4005</v>
      </c>
      <c r="K3" s="24">
        <v>1</v>
      </c>
      <c r="L3" s="117">
        <v>2555</v>
      </c>
      <c r="M3" s="74">
        <f>J$15*K$15*(L3/L$15)</f>
        <v>4143.991926182237</v>
      </c>
      <c r="N3" s="79">
        <f>SUM(E3+I3+M3)</f>
        <v>13916.712731980519</v>
      </c>
      <c r="P3" s="81"/>
    </row>
    <row r="4" spans="1:16" s="80" customFormat="1" ht="18.75">
      <c r="A4" s="3" t="s">
        <v>2</v>
      </c>
      <c r="B4" s="117">
        <v>27867</v>
      </c>
      <c r="C4" s="24">
        <v>0.1</v>
      </c>
      <c r="D4" s="117">
        <v>37551.5</v>
      </c>
      <c r="E4" s="74">
        <f aca="true" t="shared" si="0" ref="E4:E14">B$15*C$15*(D4/D$15)</f>
        <v>2454.51106879827</v>
      </c>
      <c r="F4" s="117">
        <v>132</v>
      </c>
      <c r="G4" s="24">
        <v>1</v>
      </c>
      <c r="H4" s="117">
        <v>94</v>
      </c>
      <c r="I4" s="74">
        <f aca="true" t="shared" si="1" ref="I4:I14">F$15*G$15*(H4/H$15)</f>
        <v>120.92682926829269</v>
      </c>
      <c r="J4" s="117">
        <v>595</v>
      </c>
      <c r="K4" s="24">
        <v>1</v>
      </c>
      <c r="L4" s="117">
        <v>47</v>
      </c>
      <c r="M4" s="74">
        <f aca="true" t="shared" si="2" ref="M4:M14">J$15*K$15*(L4/L$15)</f>
        <v>76.22998846597463</v>
      </c>
      <c r="N4" s="79">
        <f aca="true" t="shared" si="3" ref="N4:N14">SUM(E4+I4+M4)</f>
        <v>2651.6678865325375</v>
      </c>
      <c r="P4" s="81"/>
    </row>
    <row r="5" spans="1:16" s="80" customFormat="1" ht="18.75">
      <c r="A5" s="3" t="s">
        <v>3</v>
      </c>
      <c r="B5" s="117">
        <v>19808</v>
      </c>
      <c r="C5" s="24">
        <v>0.1</v>
      </c>
      <c r="D5" s="117">
        <v>26273.4</v>
      </c>
      <c r="E5" s="74">
        <f t="shared" si="0"/>
        <v>1717.330895302837</v>
      </c>
      <c r="F5" s="117">
        <v>132</v>
      </c>
      <c r="G5" s="24">
        <v>1</v>
      </c>
      <c r="H5" s="117">
        <v>80</v>
      </c>
      <c r="I5" s="74">
        <f t="shared" si="1"/>
        <v>102.91645044110015</v>
      </c>
      <c r="J5" s="117">
        <v>201</v>
      </c>
      <c r="K5" s="24">
        <v>1</v>
      </c>
      <c r="L5" s="117">
        <v>115</v>
      </c>
      <c r="M5" s="74">
        <f t="shared" si="2"/>
        <v>186.52018454440602</v>
      </c>
      <c r="N5" s="79">
        <f t="shared" si="3"/>
        <v>2006.767530288343</v>
      </c>
      <c r="P5" s="81"/>
    </row>
    <row r="6" spans="1:16" s="80" customFormat="1" ht="18.75">
      <c r="A6" s="3" t="s">
        <v>4</v>
      </c>
      <c r="B6" s="117">
        <v>4116</v>
      </c>
      <c r="C6" s="24">
        <v>0.1</v>
      </c>
      <c r="D6" s="117">
        <v>5859.6</v>
      </c>
      <c r="E6" s="74">
        <f t="shared" si="0"/>
        <v>383.00608654062677</v>
      </c>
      <c r="F6" s="117">
        <v>131</v>
      </c>
      <c r="G6" s="24">
        <v>1</v>
      </c>
      <c r="H6" s="117">
        <v>103</v>
      </c>
      <c r="I6" s="74">
        <f t="shared" si="1"/>
        <v>132.50492994291645</v>
      </c>
      <c r="J6" s="117">
        <v>317</v>
      </c>
      <c r="K6" s="24">
        <v>1</v>
      </c>
      <c r="L6" s="117">
        <v>70</v>
      </c>
      <c r="M6" s="74">
        <f t="shared" si="2"/>
        <v>113.53402537485582</v>
      </c>
      <c r="N6" s="79">
        <f t="shared" si="3"/>
        <v>629.045041858399</v>
      </c>
      <c r="P6" s="81"/>
    </row>
    <row r="7" spans="1:16" s="80" customFormat="1" ht="18.75">
      <c r="A7" s="3" t="s">
        <v>5</v>
      </c>
      <c r="B7" s="117">
        <v>8935</v>
      </c>
      <c r="C7" s="24">
        <v>0.1</v>
      </c>
      <c r="D7" s="117">
        <v>6791.7</v>
      </c>
      <c r="E7" s="74">
        <f t="shared" si="0"/>
        <v>443.9317424325849</v>
      </c>
      <c r="F7" s="117">
        <v>120</v>
      </c>
      <c r="G7" s="24">
        <v>1</v>
      </c>
      <c r="H7" s="117">
        <v>98</v>
      </c>
      <c r="I7" s="74">
        <f t="shared" si="1"/>
        <v>126.07265179034769</v>
      </c>
      <c r="J7" s="117">
        <v>303</v>
      </c>
      <c r="K7" s="24">
        <v>1</v>
      </c>
      <c r="L7" s="117">
        <v>179</v>
      </c>
      <c r="M7" s="74">
        <f t="shared" si="2"/>
        <v>290.3227220299884</v>
      </c>
      <c r="N7" s="79">
        <f t="shared" si="3"/>
        <v>860.327116252921</v>
      </c>
      <c r="P7" s="81"/>
    </row>
    <row r="8" spans="1:16" s="80" customFormat="1" ht="18.75">
      <c r="A8" s="3" t="s">
        <v>6</v>
      </c>
      <c r="B8" s="117">
        <v>20319</v>
      </c>
      <c r="C8" s="24">
        <v>0.1</v>
      </c>
      <c r="D8" s="117">
        <v>23348.3</v>
      </c>
      <c r="E8" s="74">
        <f t="shared" si="0"/>
        <v>1526.1350621845374</v>
      </c>
      <c r="F8" s="117">
        <v>93</v>
      </c>
      <c r="G8" s="24">
        <v>1</v>
      </c>
      <c r="H8" s="117">
        <v>74</v>
      </c>
      <c r="I8" s="74">
        <f t="shared" si="1"/>
        <v>95.19771665801765</v>
      </c>
      <c r="J8" s="117">
        <v>293</v>
      </c>
      <c r="K8" s="24">
        <v>1</v>
      </c>
      <c r="L8" s="117">
        <v>129</v>
      </c>
      <c r="M8" s="74">
        <f t="shared" si="2"/>
        <v>209.22698961937718</v>
      </c>
      <c r="N8" s="79">
        <f t="shared" si="3"/>
        <v>1830.5597684619324</v>
      </c>
      <c r="P8" s="81"/>
    </row>
    <row r="9" spans="1:16" s="80" customFormat="1" ht="18.75">
      <c r="A9" s="3" t="s">
        <v>15</v>
      </c>
      <c r="B9" s="117">
        <v>22939</v>
      </c>
      <c r="C9" s="24">
        <v>0.1</v>
      </c>
      <c r="D9" s="117">
        <v>31036.4</v>
      </c>
      <c r="E9" s="74">
        <f t="shared" si="0"/>
        <v>2028.6589706310172</v>
      </c>
      <c r="F9" s="117">
        <v>242</v>
      </c>
      <c r="G9" s="24">
        <v>1</v>
      </c>
      <c r="H9" s="117">
        <v>219</v>
      </c>
      <c r="I9" s="74">
        <f t="shared" si="1"/>
        <v>281.7337830825117</v>
      </c>
      <c r="J9" s="117">
        <v>270</v>
      </c>
      <c r="K9" s="24">
        <v>1</v>
      </c>
      <c r="L9" s="117">
        <v>597</v>
      </c>
      <c r="M9" s="74">
        <f t="shared" si="2"/>
        <v>968.2830449826989</v>
      </c>
      <c r="N9" s="79">
        <f t="shared" si="3"/>
        <v>3278.6757986962275</v>
      </c>
      <c r="P9" s="81"/>
    </row>
    <row r="10" spans="1:16" s="80" customFormat="1" ht="18.75">
      <c r="A10" s="3" t="s">
        <v>8</v>
      </c>
      <c r="B10" s="117">
        <v>4257</v>
      </c>
      <c r="C10" s="24">
        <v>0.1</v>
      </c>
      <c r="D10" s="117">
        <v>6366.2</v>
      </c>
      <c r="E10" s="74">
        <f t="shared" si="0"/>
        <v>416.11941909600273</v>
      </c>
      <c r="F10" s="117">
        <v>36</v>
      </c>
      <c r="G10" s="24">
        <v>1</v>
      </c>
      <c r="H10" s="117">
        <v>18</v>
      </c>
      <c r="I10" s="74">
        <f t="shared" si="1"/>
        <v>23.156201349247535</v>
      </c>
      <c r="J10" s="117">
        <v>701</v>
      </c>
      <c r="K10" s="24">
        <v>1</v>
      </c>
      <c r="L10" s="117">
        <v>26</v>
      </c>
      <c r="M10" s="74">
        <f t="shared" si="2"/>
        <v>42.16978085351788</v>
      </c>
      <c r="N10" s="79">
        <f t="shared" si="3"/>
        <v>481.4454012987681</v>
      </c>
      <c r="P10" s="81"/>
    </row>
    <row r="11" spans="1:16" s="80" customFormat="1" ht="18.75">
      <c r="A11" s="3" t="s">
        <v>9</v>
      </c>
      <c r="B11" s="117">
        <v>5342</v>
      </c>
      <c r="C11" s="24">
        <v>0.1</v>
      </c>
      <c r="D11" s="117">
        <v>7915.3</v>
      </c>
      <c r="E11" s="74">
        <f t="shared" si="0"/>
        <v>517.3745779225584</v>
      </c>
      <c r="F11" s="117">
        <v>45</v>
      </c>
      <c r="G11" s="24">
        <v>1</v>
      </c>
      <c r="H11" s="117">
        <v>39</v>
      </c>
      <c r="I11" s="74">
        <f t="shared" si="1"/>
        <v>50.17176959003633</v>
      </c>
      <c r="J11" s="117">
        <v>86</v>
      </c>
      <c r="K11" s="24">
        <v>1</v>
      </c>
      <c r="L11" s="117">
        <v>77</v>
      </c>
      <c r="M11" s="74">
        <f t="shared" si="2"/>
        <v>124.88742791234141</v>
      </c>
      <c r="N11" s="79">
        <f t="shared" si="3"/>
        <v>692.4337754249361</v>
      </c>
      <c r="P11" s="81"/>
    </row>
    <row r="12" spans="1:16" s="4" customFormat="1" ht="18.75">
      <c r="A12" s="3" t="s">
        <v>10</v>
      </c>
      <c r="B12" s="117">
        <v>11774</v>
      </c>
      <c r="C12" s="24">
        <v>0.1</v>
      </c>
      <c r="D12" s="117">
        <v>15879.5</v>
      </c>
      <c r="E12" s="74">
        <f t="shared" si="0"/>
        <v>1037.9454487033042</v>
      </c>
      <c r="F12" s="117">
        <v>76</v>
      </c>
      <c r="G12" s="24">
        <v>1</v>
      </c>
      <c r="H12" s="117">
        <v>65</v>
      </c>
      <c r="I12" s="74">
        <f t="shared" si="1"/>
        <v>83.61961598339389</v>
      </c>
      <c r="J12" s="117">
        <v>81</v>
      </c>
      <c r="K12" s="24">
        <v>1</v>
      </c>
      <c r="L12" s="117">
        <v>482</v>
      </c>
      <c r="M12" s="76">
        <f t="shared" si="2"/>
        <v>781.762860438293</v>
      </c>
      <c r="N12" s="77">
        <f t="shared" si="3"/>
        <v>1903.3279251249912</v>
      </c>
      <c r="P12" s="12"/>
    </row>
    <row r="13" spans="1:16" s="4" customFormat="1" ht="18.75">
      <c r="A13" s="3" t="s">
        <v>11</v>
      </c>
      <c r="B13" s="117">
        <v>5363</v>
      </c>
      <c r="C13" s="24">
        <v>0.1</v>
      </c>
      <c r="D13" s="117">
        <v>10821.1</v>
      </c>
      <c r="E13" s="74">
        <f t="shared" si="0"/>
        <v>707.3088885017366</v>
      </c>
      <c r="F13" s="117">
        <v>100</v>
      </c>
      <c r="G13" s="24">
        <v>1</v>
      </c>
      <c r="H13" s="117">
        <v>66</v>
      </c>
      <c r="I13" s="74">
        <f t="shared" si="1"/>
        <v>84.90607161390763</v>
      </c>
      <c r="J13" s="117">
        <v>161</v>
      </c>
      <c r="K13" s="24">
        <v>1</v>
      </c>
      <c r="L13" s="117">
        <v>42</v>
      </c>
      <c r="M13" s="76">
        <f t="shared" si="2"/>
        <v>68.12041522491349</v>
      </c>
      <c r="N13" s="77">
        <f t="shared" si="3"/>
        <v>860.3353753405578</v>
      </c>
      <c r="P13" s="12"/>
    </row>
    <row r="14" spans="1:16" s="4" customFormat="1" ht="18.75">
      <c r="A14" s="3" t="s">
        <v>12</v>
      </c>
      <c r="B14" s="117">
        <v>2619</v>
      </c>
      <c r="C14" s="24">
        <v>0.1</v>
      </c>
      <c r="D14" s="117">
        <v>3446.7</v>
      </c>
      <c r="E14" s="74">
        <f t="shared" si="0"/>
        <v>225.28962360563486</v>
      </c>
      <c r="F14" s="117">
        <v>34</v>
      </c>
      <c r="G14" s="24">
        <v>1</v>
      </c>
      <c r="H14" s="117">
        <v>25</v>
      </c>
      <c r="I14" s="74">
        <f t="shared" si="1"/>
        <v>32.1613907628438</v>
      </c>
      <c r="J14" s="117">
        <v>18</v>
      </c>
      <c r="K14" s="24">
        <v>1</v>
      </c>
      <c r="L14" s="117">
        <v>16</v>
      </c>
      <c r="M14" s="76">
        <f t="shared" si="2"/>
        <v>25.950634371395616</v>
      </c>
      <c r="N14" s="77">
        <f t="shared" si="3"/>
        <v>283.40164873987425</v>
      </c>
      <c r="P14" s="12"/>
    </row>
    <row r="15" spans="1:16" s="5" customFormat="1" ht="18.75">
      <c r="A15" s="3" t="s">
        <v>13</v>
      </c>
      <c r="B15" s="75">
        <f>SUM(B3:B14)</f>
        <v>198847</v>
      </c>
      <c r="C15" s="27">
        <v>0.1</v>
      </c>
      <c r="D15" s="75">
        <f>SUM(D3:D14)</f>
        <v>304215.49999999994</v>
      </c>
      <c r="E15" s="28"/>
      <c r="F15" s="75">
        <f>SUM(F3:F14)</f>
        <v>2479</v>
      </c>
      <c r="G15" s="27">
        <v>1</v>
      </c>
      <c r="H15" s="75">
        <f>SUM(H3:H14)</f>
        <v>1927</v>
      </c>
      <c r="I15" s="28"/>
      <c r="J15" s="75">
        <f>SUM(J3:J14)</f>
        <v>7031</v>
      </c>
      <c r="K15" s="27">
        <v>1</v>
      </c>
      <c r="L15" s="75">
        <f>SUM(L3:L14)</f>
        <v>4335</v>
      </c>
      <c r="M15" s="34"/>
      <c r="N15" s="78">
        <f>SUM(N3:N14)</f>
        <v>29394.700000000004</v>
      </c>
      <c r="P15" s="13"/>
    </row>
    <row r="16" ht="23.25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7.8515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0" bestFit="1" customWidth="1"/>
    <col min="17" max="16384" width="9.140625" style="2" customWidth="1"/>
  </cols>
  <sheetData>
    <row r="1" spans="1:16" s="15" customFormat="1" ht="24.75" customHeight="1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36"/>
    </row>
    <row r="2" spans="1:16" s="7" customFormat="1" ht="51">
      <c r="A2" s="6" t="s">
        <v>0</v>
      </c>
      <c r="B2" s="14" t="s">
        <v>36</v>
      </c>
      <c r="C2" s="14" t="s">
        <v>37</v>
      </c>
      <c r="D2" s="14" t="s">
        <v>38</v>
      </c>
      <c r="E2" s="20" t="s">
        <v>39</v>
      </c>
      <c r="F2" s="14" t="s">
        <v>43</v>
      </c>
      <c r="G2" s="14" t="s">
        <v>40</v>
      </c>
      <c r="H2" s="14" t="s">
        <v>41</v>
      </c>
      <c r="I2" s="20" t="s">
        <v>42</v>
      </c>
      <c r="J2" s="14" t="s">
        <v>44</v>
      </c>
      <c r="K2" s="14" t="s">
        <v>45</v>
      </c>
      <c r="L2" s="14" t="s">
        <v>46</v>
      </c>
      <c r="M2" s="20" t="s">
        <v>47</v>
      </c>
      <c r="N2" s="22" t="s">
        <v>14</v>
      </c>
      <c r="P2" s="11"/>
    </row>
    <row r="3" spans="1:16" s="80" customFormat="1" ht="18.75">
      <c r="A3" s="3" t="s">
        <v>1</v>
      </c>
      <c r="B3" s="117">
        <v>67997</v>
      </c>
      <c r="C3" s="24">
        <v>0.1</v>
      </c>
      <c r="D3" s="117">
        <v>128925.8</v>
      </c>
      <c r="E3" s="74">
        <f>B$15*C$15*(D3/D$15)</f>
        <v>8747.394445384934</v>
      </c>
      <c r="F3" s="117">
        <v>1367</v>
      </c>
      <c r="G3" s="24">
        <v>1</v>
      </c>
      <c r="H3" s="117">
        <v>1046</v>
      </c>
      <c r="I3" s="74">
        <f>F$15*G$15*(H3/H$15)</f>
        <v>1374.94447327452</v>
      </c>
      <c r="J3" s="117">
        <v>3943</v>
      </c>
      <c r="K3" s="24">
        <v>1</v>
      </c>
      <c r="L3" s="117">
        <v>2555</v>
      </c>
      <c r="M3" s="74">
        <f>J$15*K$15*(L3/L$15)</f>
        <v>4079.748558246828</v>
      </c>
      <c r="N3" s="79">
        <f>SUM(E3+I3+M3)</f>
        <v>14202.087476906283</v>
      </c>
      <c r="P3" s="81"/>
    </row>
    <row r="4" spans="1:16" s="80" customFormat="1" ht="18.75">
      <c r="A4" s="3" t="s">
        <v>2</v>
      </c>
      <c r="B4" s="117">
        <v>28926</v>
      </c>
      <c r="C4" s="24">
        <v>0.1</v>
      </c>
      <c r="D4" s="117">
        <v>37551.5</v>
      </c>
      <c r="E4" s="74">
        <f aca="true" t="shared" si="0" ref="E4:E14">B$15*C$15*(D4/D$15)</f>
        <v>2547.8048809150096</v>
      </c>
      <c r="F4" s="117">
        <v>135</v>
      </c>
      <c r="G4" s="24">
        <v>1</v>
      </c>
      <c r="H4" s="117">
        <v>94</v>
      </c>
      <c r="I4" s="74">
        <f aca="true" t="shared" si="1" ref="I4:I14">F$15*G$15*(H4/H$15)</f>
        <v>123.5609756097561</v>
      </c>
      <c r="J4" s="117">
        <v>586</v>
      </c>
      <c r="K4" s="24">
        <v>1</v>
      </c>
      <c r="L4" s="117">
        <v>47</v>
      </c>
      <c r="M4" s="74">
        <f aca="true" t="shared" si="2" ref="M4:M14">J$15*K$15*(L4/L$15)</f>
        <v>75.0482122260669</v>
      </c>
      <c r="N4" s="79">
        <f aca="true" t="shared" si="3" ref="N4:N14">SUM(E4+I4+M4)</f>
        <v>2746.4140687508325</v>
      </c>
      <c r="P4" s="81"/>
    </row>
    <row r="5" spans="1:16" s="80" customFormat="1" ht="18.75">
      <c r="A5" s="3" t="s">
        <v>3</v>
      </c>
      <c r="B5" s="117">
        <v>20561</v>
      </c>
      <c r="C5" s="24">
        <v>0.1</v>
      </c>
      <c r="D5" s="117">
        <v>26273.4</v>
      </c>
      <c r="E5" s="74">
        <f t="shared" si="0"/>
        <v>1782.6051358329873</v>
      </c>
      <c r="F5" s="117">
        <v>135</v>
      </c>
      <c r="G5" s="24">
        <v>1</v>
      </c>
      <c r="H5" s="117">
        <v>80</v>
      </c>
      <c r="I5" s="74">
        <f t="shared" si="1"/>
        <v>105.15827711468604</v>
      </c>
      <c r="J5" s="117">
        <v>198</v>
      </c>
      <c r="K5" s="24">
        <v>1</v>
      </c>
      <c r="L5" s="117">
        <v>115</v>
      </c>
      <c r="M5" s="74">
        <f t="shared" si="2"/>
        <v>183.62860438292967</v>
      </c>
      <c r="N5" s="79">
        <f t="shared" si="3"/>
        <v>2071.3920173306033</v>
      </c>
      <c r="P5" s="81"/>
    </row>
    <row r="6" spans="1:16" s="80" customFormat="1" ht="18.75">
      <c r="A6" s="3" t="s">
        <v>4</v>
      </c>
      <c r="B6" s="117">
        <v>4273</v>
      </c>
      <c r="C6" s="24">
        <v>0.1</v>
      </c>
      <c r="D6" s="117">
        <v>5859.6</v>
      </c>
      <c r="E6" s="74">
        <f t="shared" si="0"/>
        <v>397.56381183733254</v>
      </c>
      <c r="F6" s="117">
        <v>134</v>
      </c>
      <c r="G6" s="24">
        <v>1</v>
      </c>
      <c r="H6" s="117">
        <v>103</v>
      </c>
      <c r="I6" s="74">
        <f t="shared" si="1"/>
        <v>135.39128178515827</v>
      </c>
      <c r="J6" s="117">
        <v>312</v>
      </c>
      <c r="K6" s="24">
        <v>1</v>
      </c>
      <c r="L6" s="117">
        <v>70</v>
      </c>
      <c r="M6" s="74">
        <f t="shared" si="2"/>
        <v>111.77393310265282</v>
      </c>
      <c r="N6" s="79">
        <f t="shared" si="3"/>
        <v>644.7290267251436</v>
      </c>
      <c r="P6" s="81"/>
    </row>
    <row r="7" spans="1:16" s="80" customFormat="1" ht="18.75">
      <c r="A7" s="3" t="s">
        <v>5</v>
      </c>
      <c r="B7" s="117">
        <v>9275</v>
      </c>
      <c r="C7" s="24">
        <v>0.1</v>
      </c>
      <c r="D7" s="117">
        <v>6791.7</v>
      </c>
      <c r="E7" s="74">
        <f t="shared" si="0"/>
        <v>460.8051984530703</v>
      </c>
      <c r="F7" s="117">
        <v>122</v>
      </c>
      <c r="G7" s="24">
        <v>1</v>
      </c>
      <c r="H7" s="117">
        <v>98</v>
      </c>
      <c r="I7" s="74">
        <f t="shared" si="1"/>
        <v>128.8188894654904</v>
      </c>
      <c r="J7" s="117">
        <v>298</v>
      </c>
      <c r="K7" s="24">
        <v>1</v>
      </c>
      <c r="L7" s="117">
        <v>179</v>
      </c>
      <c r="M7" s="74">
        <f t="shared" si="2"/>
        <v>285.8219146482122</v>
      </c>
      <c r="N7" s="79">
        <f t="shared" si="3"/>
        <v>875.4460025667729</v>
      </c>
      <c r="P7" s="81"/>
    </row>
    <row r="8" spans="1:16" s="80" customFormat="1" ht="18.75">
      <c r="A8" s="3" t="s">
        <v>6</v>
      </c>
      <c r="B8" s="117">
        <v>21091</v>
      </c>
      <c r="C8" s="24">
        <v>0.1</v>
      </c>
      <c r="D8" s="117">
        <v>23348.3</v>
      </c>
      <c r="E8" s="74">
        <f t="shared" si="0"/>
        <v>1584.1421168546642</v>
      </c>
      <c r="F8" s="117">
        <v>95</v>
      </c>
      <c r="G8" s="24">
        <v>1</v>
      </c>
      <c r="H8" s="117">
        <v>74</v>
      </c>
      <c r="I8" s="74">
        <f t="shared" si="1"/>
        <v>97.27140633108459</v>
      </c>
      <c r="J8" s="117">
        <v>289</v>
      </c>
      <c r="K8" s="24">
        <v>1</v>
      </c>
      <c r="L8" s="117">
        <v>129</v>
      </c>
      <c r="M8" s="74">
        <f t="shared" si="2"/>
        <v>205.9833910034602</v>
      </c>
      <c r="N8" s="79">
        <f t="shared" si="3"/>
        <v>1887.396914189209</v>
      </c>
      <c r="P8" s="81"/>
    </row>
    <row r="9" spans="1:16" s="80" customFormat="1" ht="18.75">
      <c r="A9" s="3" t="s">
        <v>15</v>
      </c>
      <c r="B9" s="117">
        <v>23811</v>
      </c>
      <c r="C9" s="24">
        <v>0.1</v>
      </c>
      <c r="D9" s="117">
        <v>31036.4</v>
      </c>
      <c r="E9" s="74">
        <f t="shared" si="0"/>
        <v>2105.7665181425673</v>
      </c>
      <c r="F9" s="117">
        <v>247</v>
      </c>
      <c r="G9" s="24">
        <v>1</v>
      </c>
      <c r="H9" s="117">
        <v>219</v>
      </c>
      <c r="I9" s="74">
        <f t="shared" si="1"/>
        <v>287.87078360145307</v>
      </c>
      <c r="J9" s="117">
        <v>266</v>
      </c>
      <c r="K9" s="24">
        <v>1</v>
      </c>
      <c r="L9" s="117">
        <v>597</v>
      </c>
      <c r="M9" s="74">
        <f t="shared" si="2"/>
        <v>953.2719723183391</v>
      </c>
      <c r="N9" s="79">
        <f t="shared" si="3"/>
        <v>3346.9092740623596</v>
      </c>
      <c r="P9" s="81"/>
    </row>
    <row r="10" spans="1:16" s="80" customFormat="1" ht="18.75">
      <c r="A10" s="3" t="s">
        <v>8</v>
      </c>
      <c r="B10" s="117">
        <v>4419</v>
      </c>
      <c r="C10" s="24">
        <v>0.1</v>
      </c>
      <c r="D10" s="117">
        <v>6366.2</v>
      </c>
      <c r="E10" s="74">
        <f t="shared" si="0"/>
        <v>431.93575310922694</v>
      </c>
      <c r="F10" s="117">
        <v>37</v>
      </c>
      <c r="G10" s="24">
        <v>1</v>
      </c>
      <c r="H10" s="117">
        <v>18</v>
      </c>
      <c r="I10" s="74">
        <f t="shared" si="1"/>
        <v>23.66061235080436</v>
      </c>
      <c r="J10" s="117">
        <v>690</v>
      </c>
      <c r="K10" s="24">
        <v>1</v>
      </c>
      <c r="L10" s="117">
        <v>26</v>
      </c>
      <c r="M10" s="74">
        <f t="shared" si="2"/>
        <v>41.516032295271046</v>
      </c>
      <c r="N10" s="79">
        <f t="shared" si="3"/>
        <v>497.1123977553023</v>
      </c>
      <c r="P10" s="81"/>
    </row>
    <row r="11" spans="1:16" s="80" customFormat="1" ht="18.75">
      <c r="A11" s="3" t="s">
        <v>9</v>
      </c>
      <c r="B11" s="117">
        <v>5545</v>
      </c>
      <c r="C11" s="24">
        <v>0.1</v>
      </c>
      <c r="D11" s="117">
        <v>7915.3</v>
      </c>
      <c r="E11" s="74">
        <f t="shared" si="0"/>
        <v>537.0395316806673</v>
      </c>
      <c r="F11" s="117">
        <v>46</v>
      </c>
      <c r="G11" s="24">
        <v>1</v>
      </c>
      <c r="H11" s="117">
        <v>39</v>
      </c>
      <c r="I11" s="74">
        <f t="shared" si="1"/>
        <v>51.26466009340945</v>
      </c>
      <c r="J11" s="117">
        <v>85</v>
      </c>
      <c r="K11" s="24">
        <v>1</v>
      </c>
      <c r="L11" s="117">
        <v>77</v>
      </c>
      <c r="M11" s="74">
        <f t="shared" si="2"/>
        <v>122.9513264129181</v>
      </c>
      <c r="N11" s="79">
        <f t="shared" si="3"/>
        <v>711.2555181869949</v>
      </c>
      <c r="P11" s="81"/>
    </row>
    <row r="12" spans="1:16" s="80" customFormat="1" ht="18.75">
      <c r="A12" s="3" t="s">
        <v>10</v>
      </c>
      <c r="B12" s="117">
        <v>12221</v>
      </c>
      <c r="C12" s="24">
        <v>0.1</v>
      </c>
      <c r="D12" s="117">
        <v>15879.5</v>
      </c>
      <c r="E12" s="74">
        <f t="shared" si="0"/>
        <v>1077.3968445066082</v>
      </c>
      <c r="F12" s="117">
        <v>78</v>
      </c>
      <c r="G12" s="24">
        <v>1</v>
      </c>
      <c r="H12" s="117">
        <v>65</v>
      </c>
      <c r="I12" s="74">
        <f t="shared" si="1"/>
        <v>85.4411001556824</v>
      </c>
      <c r="J12" s="117">
        <v>79</v>
      </c>
      <c r="K12" s="24">
        <v>1</v>
      </c>
      <c r="L12" s="117">
        <v>482</v>
      </c>
      <c r="M12" s="74">
        <f t="shared" si="2"/>
        <v>769.6433679354095</v>
      </c>
      <c r="N12" s="79">
        <f t="shared" si="3"/>
        <v>1932.4813125977</v>
      </c>
      <c r="P12" s="81"/>
    </row>
    <row r="13" spans="1:16" s="80" customFormat="1" ht="18.75">
      <c r="A13" s="3" t="s">
        <v>11</v>
      </c>
      <c r="B13" s="117">
        <v>5567</v>
      </c>
      <c r="C13" s="24">
        <v>0.1</v>
      </c>
      <c r="D13" s="117">
        <v>10821.1</v>
      </c>
      <c r="E13" s="74">
        <f t="shared" si="0"/>
        <v>734.1930787550275</v>
      </c>
      <c r="F13" s="117">
        <v>102</v>
      </c>
      <c r="G13" s="24">
        <v>1</v>
      </c>
      <c r="H13" s="117">
        <v>66</v>
      </c>
      <c r="I13" s="74">
        <f t="shared" si="1"/>
        <v>86.75557861961597</v>
      </c>
      <c r="J13" s="117">
        <v>158</v>
      </c>
      <c r="K13" s="24">
        <v>1</v>
      </c>
      <c r="L13" s="117">
        <v>42</v>
      </c>
      <c r="M13" s="74">
        <f t="shared" si="2"/>
        <v>67.0643598615917</v>
      </c>
      <c r="N13" s="79">
        <f t="shared" si="3"/>
        <v>888.0130172362352</v>
      </c>
      <c r="P13" s="81"/>
    </row>
    <row r="14" spans="1:16" s="80" customFormat="1" ht="18.75">
      <c r="A14" s="3" t="s">
        <v>12</v>
      </c>
      <c r="B14" s="117">
        <v>2719</v>
      </c>
      <c r="C14" s="24">
        <v>0.1</v>
      </c>
      <c r="D14" s="117">
        <v>3446.7</v>
      </c>
      <c r="E14" s="74">
        <f t="shared" si="0"/>
        <v>233.85268452790868</v>
      </c>
      <c r="F14" s="117">
        <v>35</v>
      </c>
      <c r="G14" s="24">
        <v>1</v>
      </c>
      <c r="H14" s="117">
        <v>25</v>
      </c>
      <c r="I14" s="74">
        <f t="shared" si="1"/>
        <v>32.861961598339384</v>
      </c>
      <c r="J14" s="117">
        <v>18</v>
      </c>
      <c r="K14" s="24">
        <v>1</v>
      </c>
      <c r="L14" s="117">
        <v>16</v>
      </c>
      <c r="M14" s="74">
        <f t="shared" si="2"/>
        <v>25.548327566320648</v>
      </c>
      <c r="N14" s="79">
        <f t="shared" si="3"/>
        <v>292.2629736925687</v>
      </c>
      <c r="P14" s="81"/>
    </row>
    <row r="15" spans="1:16" s="5" customFormat="1" ht="18.75">
      <c r="A15" s="3" t="s">
        <v>13</v>
      </c>
      <c r="B15" s="75">
        <f>SUM(B3:B14)</f>
        <v>206405</v>
      </c>
      <c r="C15" s="27">
        <v>0.1</v>
      </c>
      <c r="D15" s="75">
        <f>SUM(D3:D14)</f>
        <v>304215.49999999994</v>
      </c>
      <c r="E15" s="28"/>
      <c r="F15" s="75">
        <f>SUM(F3:F14)</f>
        <v>2533</v>
      </c>
      <c r="G15" s="27">
        <v>1</v>
      </c>
      <c r="H15" s="75">
        <f>SUM(H3:H14)</f>
        <v>1927</v>
      </c>
      <c r="I15" s="28"/>
      <c r="J15" s="75">
        <f>SUM(J3:J14)</f>
        <v>6922</v>
      </c>
      <c r="K15" s="27">
        <v>1</v>
      </c>
      <c r="L15" s="75">
        <f>SUM(L3:L14)</f>
        <v>4335</v>
      </c>
      <c r="M15" s="28"/>
      <c r="N15" s="78">
        <f>SUM(N3:N14)</f>
        <v>30095.50000000001</v>
      </c>
      <c r="P15" s="13"/>
    </row>
    <row r="16" ht="23.25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7.00390625" style="53" customWidth="1"/>
    <col min="2" max="2" width="12.7109375" style="51" customWidth="1"/>
    <col min="3" max="3" width="12.57421875" style="51" customWidth="1"/>
    <col min="4" max="4" width="13.28125" style="51" customWidth="1"/>
    <col min="5" max="5" width="11.421875" style="51" customWidth="1"/>
    <col min="6" max="6" width="12.421875" style="51" customWidth="1"/>
    <col min="7" max="7" width="11.7109375" style="51" customWidth="1"/>
    <col min="8" max="8" width="12.28125" style="51" customWidth="1"/>
    <col min="9" max="9" width="11.7109375" style="51" customWidth="1"/>
    <col min="10" max="10" width="12.57421875" style="51" customWidth="1"/>
    <col min="11" max="11" width="11.7109375" style="51" customWidth="1"/>
    <col min="12" max="13" width="10.140625" style="51" bestFit="1" customWidth="1"/>
    <col min="14" max="232" width="9.140625" style="51" customWidth="1"/>
    <col min="233" max="16384" width="9.140625" style="52" customWidth="1"/>
  </cols>
  <sheetData>
    <row r="1" spans="1:13" ht="12.75">
      <c r="A1" s="151" t="s">
        <v>144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2.75">
      <c r="M2" s="51" t="s">
        <v>78</v>
      </c>
    </row>
    <row r="3" spans="1:232" ht="47.25" customHeight="1">
      <c r="A3" s="148" t="s">
        <v>79</v>
      </c>
      <c r="B3" s="149" t="s">
        <v>61</v>
      </c>
      <c r="C3" s="149"/>
      <c r="D3" s="149"/>
      <c r="E3" s="149" t="s">
        <v>62</v>
      </c>
      <c r="F3" s="149"/>
      <c r="G3" s="149"/>
      <c r="H3" s="149" t="s">
        <v>63</v>
      </c>
      <c r="I3" s="149"/>
      <c r="J3" s="149"/>
      <c r="K3" s="150" t="s">
        <v>77</v>
      </c>
      <c r="L3" s="150"/>
      <c r="M3" s="150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</row>
    <row r="4" spans="1:13" ht="12.75" customHeight="1">
      <c r="A4" s="148"/>
      <c r="B4" s="54" t="s">
        <v>124</v>
      </c>
      <c r="C4" s="55" t="s">
        <v>130</v>
      </c>
      <c r="D4" s="56" t="s">
        <v>145</v>
      </c>
      <c r="E4" s="54" t="s">
        <v>124</v>
      </c>
      <c r="F4" s="55" t="s">
        <v>130</v>
      </c>
      <c r="G4" s="56" t="s">
        <v>145</v>
      </c>
      <c r="H4" s="54" t="s">
        <v>124</v>
      </c>
      <c r="I4" s="55" t="s">
        <v>130</v>
      </c>
      <c r="J4" s="56" t="s">
        <v>145</v>
      </c>
      <c r="K4" s="54" t="s">
        <v>124</v>
      </c>
      <c r="L4" s="55" t="s">
        <v>130</v>
      </c>
      <c r="M4" s="56" t="s">
        <v>145</v>
      </c>
    </row>
    <row r="5" spans="1:232" ht="13.5" customHeight="1">
      <c r="A5" s="57" t="s">
        <v>64</v>
      </c>
      <c r="B5" s="58">
        <v>9426.8</v>
      </c>
      <c r="C5" s="59">
        <v>6471</v>
      </c>
      <c r="D5" s="60">
        <v>6892</v>
      </c>
      <c r="E5" s="61">
        <v>766.4</v>
      </c>
      <c r="F5" s="62">
        <v>801</v>
      </c>
      <c r="G5" s="63">
        <v>846.4</v>
      </c>
      <c r="H5" s="61">
        <v>3135.3</v>
      </c>
      <c r="I5" s="62">
        <v>3276.4</v>
      </c>
      <c r="J5" s="63">
        <v>3417.3</v>
      </c>
      <c r="K5" s="64">
        <f>SUM(B5+E5+H5)</f>
        <v>13328.5</v>
      </c>
      <c r="L5" s="65">
        <f>SUM(C5+F5+I5)</f>
        <v>10548.4</v>
      </c>
      <c r="M5" s="66">
        <f>SUM(D5+G5+J5)</f>
        <v>11155.7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</row>
    <row r="6" spans="1:232" ht="13.5" customHeight="1">
      <c r="A6" s="57" t="s">
        <v>65</v>
      </c>
      <c r="B6" s="58">
        <v>3600</v>
      </c>
      <c r="C6" s="59">
        <v>3610</v>
      </c>
      <c r="D6" s="60">
        <v>3620</v>
      </c>
      <c r="E6" s="61">
        <v>102.7</v>
      </c>
      <c r="F6" s="62">
        <v>104</v>
      </c>
      <c r="G6" s="63">
        <v>106</v>
      </c>
      <c r="H6" s="61">
        <v>247.6</v>
      </c>
      <c r="I6" s="62">
        <v>248.7</v>
      </c>
      <c r="J6" s="63">
        <v>249.8</v>
      </c>
      <c r="K6" s="64">
        <f aca="true" t="shared" si="0" ref="K6:M16">SUM(B6+E6+H6)</f>
        <v>3950.2999999999997</v>
      </c>
      <c r="L6" s="65">
        <f t="shared" si="0"/>
        <v>3962.7</v>
      </c>
      <c r="M6" s="66">
        <f t="shared" si="0"/>
        <v>3975.8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</row>
    <row r="7" spans="1:232" ht="13.5" customHeight="1">
      <c r="A7" s="57" t="s">
        <v>66</v>
      </c>
      <c r="B7" s="58">
        <v>2795.8</v>
      </c>
      <c r="C7" s="59">
        <v>2572.3</v>
      </c>
      <c r="D7" s="60">
        <v>2700.9</v>
      </c>
      <c r="E7" s="61">
        <v>100.3</v>
      </c>
      <c r="F7" s="62">
        <v>104.8</v>
      </c>
      <c r="G7" s="63">
        <v>110.3</v>
      </c>
      <c r="H7" s="61">
        <v>88</v>
      </c>
      <c r="I7" s="62">
        <v>88</v>
      </c>
      <c r="J7" s="63">
        <v>88</v>
      </c>
      <c r="K7" s="64">
        <f t="shared" si="0"/>
        <v>2984.1000000000004</v>
      </c>
      <c r="L7" s="65">
        <f t="shared" si="0"/>
        <v>2765.1000000000004</v>
      </c>
      <c r="M7" s="66">
        <f t="shared" si="0"/>
        <v>2899.2000000000003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</row>
    <row r="8" spans="1:232" ht="13.5" customHeight="1">
      <c r="A8" s="57" t="s">
        <v>67</v>
      </c>
      <c r="B8" s="58">
        <v>940</v>
      </c>
      <c r="C8" s="59">
        <v>987</v>
      </c>
      <c r="D8" s="60">
        <v>1036</v>
      </c>
      <c r="E8" s="61">
        <v>54.2</v>
      </c>
      <c r="F8" s="62">
        <v>56</v>
      </c>
      <c r="G8" s="63">
        <v>60</v>
      </c>
      <c r="H8" s="61">
        <v>63</v>
      </c>
      <c r="I8" s="62">
        <v>66</v>
      </c>
      <c r="J8" s="63">
        <v>69</v>
      </c>
      <c r="K8" s="64">
        <f t="shared" si="0"/>
        <v>1057.2</v>
      </c>
      <c r="L8" s="65">
        <f t="shared" si="0"/>
        <v>1109</v>
      </c>
      <c r="M8" s="66">
        <f t="shared" si="0"/>
        <v>1165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</row>
    <row r="9" spans="1:232" ht="13.5" customHeight="1">
      <c r="A9" s="57" t="s">
        <v>68</v>
      </c>
      <c r="B9" s="58">
        <v>1465</v>
      </c>
      <c r="C9" s="59">
        <v>1367</v>
      </c>
      <c r="D9" s="60">
        <v>1460</v>
      </c>
      <c r="E9" s="61">
        <v>135.1</v>
      </c>
      <c r="F9" s="62">
        <v>141.2</v>
      </c>
      <c r="G9" s="63">
        <v>148.3</v>
      </c>
      <c r="H9" s="61">
        <v>50</v>
      </c>
      <c r="I9" s="62">
        <v>50</v>
      </c>
      <c r="J9" s="63">
        <v>50</v>
      </c>
      <c r="K9" s="64">
        <f t="shared" si="0"/>
        <v>1650.1</v>
      </c>
      <c r="L9" s="65">
        <f t="shared" si="0"/>
        <v>1558.2</v>
      </c>
      <c r="M9" s="66">
        <f t="shared" si="0"/>
        <v>1658.3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</row>
    <row r="10" spans="1:232" ht="13.5" customHeight="1">
      <c r="A10" s="57" t="s">
        <v>69</v>
      </c>
      <c r="B10" s="58">
        <v>590</v>
      </c>
      <c r="C10" s="59">
        <v>620</v>
      </c>
      <c r="D10" s="60">
        <v>651</v>
      </c>
      <c r="E10" s="61">
        <v>26.2</v>
      </c>
      <c r="F10" s="62">
        <v>27.4</v>
      </c>
      <c r="G10" s="63">
        <v>29.6</v>
      </c>
      <c r="H10" s="61">
        <v>32</v>
      </c>
      <c r="I10" s="62">
        <v>32</v>
      </c>
      <c r="J10" s="63">
        <v>32</v>
      </c>
      <c r="K10" s="64">
        <f t="shared" si="0"/>
        <v>648.2</v>
      </c>
      <c r="L10" s="65">
        <f t="shared" si="0"/>
        <v>679.4</v>
      </c>
      <c r="M10" s="66">
        <f t="shared" si="0"/>
        <v>712.6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</row>
    <row r="11" spans="1:232" ht="13.5" customHeight="1">
      <c r="A11" s="57" t="s">
        <v>70</v>
      </c>
      <c r="B11" s="58">
        <v>1900</v>
      </c>
      <c r="C11" s="59">
        <v>1900</v>
      </c>
      <c r="D11" s="60">
        <v>1900</v>
      </c>
      <c r="E11" s="61">
        <v>60.5</v>
      </c>
      <c r="F11" s="62">
        <v>75</v>
      </c>
      <c r="G11" s="63">
        <v>76</v>
      </c>
      <c r="H11" s="61">
        <v>75</v>
      </c>
      <c r="I11" s="62">
        <v>75</v>
      </c>
      <c r="J11" s="63">
        <v>75</v>
      </c>
      <c r="K11" s="64">
        <f t="shared" si="0"/>
        <v>2035.5</v>
      </c>
      <c r="L11" s="65">
        <f t="shared" si="0"/>
        <v>2050</v>
      </c>
      <c r="M11" s="66">
        <f t="shared" si="0"/>
        <v>2051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</row>
    <row r="12" spans="1:232" ht="13.5" customHeight="1">
      <c r="A12" s="57" t="s">
        <v>71</v>
      </c>
      <c r="B12" s="58">
        <v>3241.9</v>
      </c>
      <c r="C12" s="59">
        <v>2900</v>
      </c>
      <c r="D12" s="60">
        <v>3000</v>
      </c>
      <c r="E12" s="61">
        <v>214.2</v>
      </c>
      <c r="F12" s="62">
        <v>223.8</v>
      </c>
      <c r="G12" s="63">
        <v>234.4</v>
      </c>
      <c r="H12" s="61">
        <v>155</v>
      </c>
      <c r="I12" s="62">
        <v>163</v>
      </c>
      <c r="J12" s="63">
        <v>163</v>
      </c>
      <c r="K12" s="64">
        <f t="shared" si="0"/>
        <v>3611.1</v>
      </c>
      <c r="L12" s="65">
        <f t="shared" si="0"/>
        <v>3286.8</v>
      </c>
      <c r="M12" s="66">
        <f t="shared" si="0"/>
        <v>3397.4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</row>
    <row r="13" spans="1:232" ht="13.5" customHeight="1">
      <c r="A13" s="57" t="s">
        <v>72</v>
      </c>
      <c r="B13" s="58">
        <v>425</v>
      </c>
      <c r="C13" s="59">
        <v>430</v>
      </c>
      <c r="D13" s="60">
        <v>435</v>
      </c>
      <c r="E13" s="61">
        <v>95.5</v>
      </c>
      <c r="F13" s="62">
        <v>95.5</v>
      </c>
      <c r="G13" s="63">
        <v>100.6</v>
      </c>
      <c r="H13" s="61">
        <v>82</v>
      </c>
      <c r="I13" s="62">
        <v>90</v>
      </c>
      <c r="J13" s="63">
        <v>90</v>
      </c>
      <c r="K13" s="64">
        <f t="shared" si="0"/>
        <v>602.5</v>
      </c>
      <c r="L13" s="65">
        <f t="shared" si="0"/>
        <v>615.5</v>
      </c>
      <c r="M13" s="66">
        <f t="shared" si="0"/>
        <v>625.6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</row>
    <row r="14" spans="1:232" ht="13.5" customHeight="1">
      <c r="A14" s="57" t="s">
        <v>73</v>
      </c>
      <c r="B14" s="58">
        <v>3615.8</v>
      </c>
      <c r="C14" s="59">
        <v>1530</v>
      </c>
      <c r="D14" s="60">
        <v>1550</v>
      </c>
      <c r="E14" s="61">
        <v>95</v>
      </c>
      <c r="F14" s="62">
        <v>95</v>
      </c>
      <c r="G14" s="63">
        <v>109.1</v>
      </c>
      <c r="H14" s="61">
        <v>118</v>
      </c>
      <c r="I14" s="62">
        <v>120</v>
      </c>
      <c r="J14" s="63">
        <v>120</v>
      </c>
      <c r="K14" s="64">
        <f t="shared" si="0"/>
        <v>3828.8</v>
      </c>
      <c r="L14" s="65">
        <f t="shared" si="0"/>
        <v>1745</v>
      </c>
      <c r="M14" s="66">
        <f t="shared" si="0"/>
        <v>1779.1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</row>
    <row r="15" spans="1:232" ht="13.5" customHeight="1">
      <c r="A15" s="57" t="s">
        <v>74</v>
      </c>
      <c r="B15" s="58">
        <v>709</v>
      </c>
      <c r="C15" s="59">
        <v>744</v>
      </c>
      <c r="D15" s="60">
        <v>744</v>
      </c>
      <c r="E15" s="61">
        <v>24.7</v>
      </c>
      <c r="F15" s="62">
        <v>52</v>
      </c>
      <c r="G15" s="63">
        <v>53</v>
      </c>
      <c r="H15" s="61">
        <v>47</v>
      </c>
      <c r="I15" s="62">
        <v>47</v>
      </c>
      <c r="J15" s="63">
        <v>47</v>
      </c>
      <c r="K15" s="64">
        <f t="shared" si="0"/>
        <v>780.7</v>
      </c>
      <c r="L15" s="65">
        <f t="shared" si="0"/>
        <v>843</v>
      </c>
      <c r="M15" s="66">
        <f t="shared" si="0"/>
        <v>844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</row>
    <row r="16" spans="1:232" ht="13.5" customHeight="1">
      <c r="A16" s="57" t="s">
        <v>75</v>
      </c>
      <c r="B16" s="58">
        <v>307</v>
      </c>
      <c r="C16" s="59">
        <v>328.5</v>
      </c>
      <c r="D16" s="60">
        <v>330.5</v>
      </c>
      <c r="E16" s="61">
        <v>23.2</v>
      </c>
      <c r="F16" s="62">
        <v>24.3</v>
      </c>
      <c r="G16" s="63">
        <v>26.3</v>
      </c>
      <c r="H16" s="61">
        <v>34</v>
      </c>
      <c r="I16" s="62">
        <v>37</v>
      </c>
      <c r="J16" s="63">
        <v>35</v>
      </c>
      <c r="K16" s="64">
        <f t="shared" si="0"/>
        <v>364.2</v>
      </c>
      <c r="L16" s="65">
        <f>SUM(C16+F16+I16)</f>
        <v>389.8</v>
      </c>
      <c r="M16" s="66">
        <f t="shared" si="0"/>
        <v>391.8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</row>
    <row r="17" spans="1:13" s="71" customFormat="1" ht="12.75">
      <c r="A17" s="67" t="s">
        <v>76</v>
      </c>
      <c r="B17" s="68">
        <f>SUM(B5:B16)</f>
        <v>29016.3</v>
      </c>
      <c r="C17" s="69">
        <f aca="true" t="shared" si="1" ref="C17:M17">SUM(C5:C16)</f>
        <v>23459.8</v>
      </c>
      <c r="D17" s="70">
        <f t="shared" si="1"/>
        <v>24319.4</v>
      </c>
      <c r="E17" s="68">
        <f t="shared" si="1"/>
        <v>1698.0000000000002</v>
      </c>
      <c r="F17" s="69">
        <f t="shared" si="1"/>
        <v>1800</v>
      </c>
      <c r="G17" s="70">
        <f t="shared" si="1"/>
        <v>1899.9999999999998</v>
      </c>
      <c r="H17" s="68">
        <f t="shared" si="1"/>
        <v>4126.9</v>
      </c>
      <c r="I17" s="69">
        <f t="shared" si="1"/>
        <v>4293.1</v>
      </c>
      <c r="J17" s="70">
        <f t="shared" si="1"/>
        <v>4436.1</v>
      </c>
      <c r="K17" s="68">
        <f t="shared" si="1"/>
        <v>34841.2</v>
      </c>
      <c r="L17" s="69">
        <f t="shared" si="1"/>
        <v>29552.899999999998</v>
      </c>
      <c r="M17" s="70">
        <f t="shared" si="1"/>
        <v>30655.499999999996</v>
      </c>
    </row>
    <row r="18" s="51" customFormat="1" ht="12.75"/>
    <row r="19" s="51" customFormat="1" ht="12.75"/>
  </sheetData>
  <sheetProtection/>
  <mergeCells count="6">
    <mergeCell ref="A3:A4"/>
    <mergeCell ref="B3:D3"/>
    <mergeCell ref="E3:G3"/>
    <mergeCell ref="H3:J3"/>
    <mergeCell ref="K3:M3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4" sqref="B4:N35"/>
    </sheetView>
  </sheetViews>
  <sheetFormatPr defaultColWidth="9.140625" defaultRowHeight="15"/>
  <cols>
    <col min="2" max="2" width="10.140625" style="0" bestFit="1" customWidth="1"/>
    <col min="3" max="3" width="16.421875" style="0" bestFit="1" customWidth="1"/>
    <col min="4" max="4" width="10.7109375" style="0" bestFit="1" customWidth="1"/>
    <col min="5" max="5" width="17.7109375" style="0" bestFit="1" customWidth="1"/>
    <col min="6" max="6" width="8.00390625" style="0" bestFit="1" customWidth="1"/>
    <col min="7" max="7" width="10.421875" style="0" bestFit="1" customWidth="1"/>
    <col min="8" max="8" width="11.00390625" style="0" bestFit="1" customWidth="1"/>
    <col min="9" max="9" width="11.140625" style="0" bestFit="1" customWidth="1"/>
    <col min="10" max="10" width="11.00390625" style="0" bestFit="1" customWidth="1"/>
    <col min="11" max="12" width="8.00390625" style="0" bestFit="1" customWidth="1"/>
    <col min="13" max="13" width="9.28125" style="0" bestFit="1" customWidth="1"/>
    <col min="14" max="14" width="9.7109375" style="0" bestFit="1" customWidth="1"/>
  </cols>
  <sheetData>
    <row r="1" spans="1:14" ht="18.75">
      <c r="A1" s="152" t="s">
        <v>138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3" spans="1:14" ht="15">
      <c r="A3" s="38" t="s">
        <v>80</v>
      </c>
      <c r="B3" s="39" t="s">
        <v>81</v>
      </c>
      <c r="C3" s="39" t="s">
        <v>1</v>
      </c>
      <c r="D3" s="39" t="s">
        <v>10</v>
      </c>
      <c r="E3" s="39" t="s">
        <v>8</v>
      </c>
      <c r="F3" s="39" t="s">
        <v>11</v>
      </c>
      <c r="G3" s="39" t="s">
        <v>15</v>
      </c>
      <c r="H3" s="39" t="s">
        <v>82</v>
      </c>
      <c r="I3" s="39" t="s">
        <v>2</v>
      </c>
      <c r="J3" s="39" t="s">
        <v>6</v>
      </c>
      <c r="K3" s="39" t="s">
        <v>12</v>
      </c>
      <c r="L3" s="39" t="s">
        <v>3</v>
      </c>
      <c r="M3" s="39" t="s">
        <v>4</v>
      </c>
      <c r="N3" s="39" t="s">
        <v>83</v>
      </c>
    </row>
    <row r="4" spans="1:14" ht="15">
      <c r="A4" s="40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5">
      <c r="A5" s="41" t="s">
        <v>84</v>
      </c>
      <c r="B5" s="120">
        <v>10069.1</v>
      </c>
      <c r="C5" s="120">
        <v>19017.1</v>
      </c>
      <c r="D5" s="120">
        <v>14123.8</v>
      </c>
      <c r="E5" s="120">
        <v>9109.3</v>
      </c>
      <c r="F5" s="120">
        <v>10812.4</v>
      </c>
      <c r="G5" s="120">
        <v>15486</v>
      </c>
      <c r="H5" s="120">
        <v>9953.1</v>
      </c>
      <c r="I5" s="120">
        <v>10200.8</v>
      </c>
      <c r="J5" s="120">
        <v>14674.8</v>
      </c>
      <c r="K5" s="120">
        <v>5201.3</v>
      </c>
      <c r="L5" s="120">
        <v>14308</v>
      </c>
      <c r="M5" s="120">
        <v>8566.8</v>
      </c>
      <c r="N5" s="120">
        <f>SUM(B5:M5)</f>
        <v>141522.5</v>
      </c>
    </row>
    <row r="6" spans="1:14" ht="15">
      <c r="A6" s="41" t="s">
        <v>85</v>
      </c>
      <c r="B6" s="120">
        <v>198</v>
      </c>
      <c r="C6" s="120">
        <v>646.5</v>
      </c>
      <c r="D6" s="120">
        <v>576.4</v>
      </c>
      <c r="E6" s="120">
        <v>209.1</v>
      </c>
      <c r="F6" s="120">
        <v>300.7</v>
      </c>
      <c r="G6" s="120">
        <v>597.6</v>
      </c>
      <c r="H6" s="120">
        <v>342.5</v>
      </c>
      <c r="I6" s="120">
        <v>428.4</v>
      </c>
      <c r="J6" s="120">
        <v>201.3</v>
      </c>
      <c r="K6" s="120">
        <v>375.6</v>
      </c>
      <c r="L6" s="120">
        <v>627</v>
      </c>
      <c r="M6" s="120">
        <v>156.5</v>
      </c>
      <c r="N6" s="120">
        <f>SUM(B6:M6)</f>
        <v>4659.6</v>
      </c>
    </row>
    <row r="7" spans="1:14" ht="15">
      <c r="A7" s="41" t="s">
        <v>86</v>
      </c>
      <c r="B7" s="120">
        <v>2768.4</v>
      </c>
      <c r="C7" s="120">
        <v>5251.1</v>
      </c>
      <c r="D7" s="120">
        <v>4002.6</v>
      </c>
      <c r="E7" s="120">
        <v>2548.5</v>
      </c>
      <c r="F7" s="120">
        <v>3019.9</v>
      </c>
      <c r="G7" s="120">
        <v>4203.9</v>
      </c>
      <c r="H7" s="120">
        <v>2727.3</v>
      </c>
      <c r="I7" s="120">
        <v>2875.8</v>
      </c>
      <c r="J7" s="120">
        <v>4197.9</v>
      </c>
      <c r="K7" s="120">
        <v>1808.9</v>
      </c>
      <c r="L7" s="120">
        <v>3876.6</v>
      </c>
      <c r="M7" s="120">
        <v>2887.1</v>
      </c>
      <c r="N7" s="120">
        <f>SUM(B7:M7)</f>
        <v>40168</v>
      </c>
    </row>
    <row r="8" spans="1:14" ht="15">
      <c r="A8" s="41" t="s">
        <v>87</v>
      </c>
      <c r="B8" s="120">
        <v>168.7</v>
      </c>
      <c r="C8" s="120">
        <v>307</v>
      </c>
      <c r="D8" s="120">
        <v>343.7</v>
      </c>
      <c r="E8" s="120">
        <v>210.3</v>
      </c>
      <c r="F8" s="120">
        <v>189.8</v>
      </c>
      <c r="G8" s="120">
        <v>438.4</v>
      </c>
      <c r="H8" s="120">
        <v>219.8</v>
      </c>
      <c r="I8" s="120">
        <v>216.8</v>
      </c>
      <c r="J8" s="120">
        <v>311</v>
      </c>
      <c r="K8" s="120">
        <v>201.1</v>
      </c>
      <c r="L8" s="120">
        <v>406.9</v>
      </c>
      <c r="M8" s="120">
        <v>161.2</v>
      </c>
      <c r="N8" s="120">
        <f aca="true" t="shared" si="0" ref="N8:N21">SUM(B8:M8)</f>
        <v>3174.7</v>
      </c>
    </row>
    <row r="9" spans="1:14" ht="15">
      <c r="A9" s="41" t="s">
        <v>88</v>
      </c>
      <c r="B9" s="120">
        <v>291</v>
      </c>
      <c r="C9" s="120">
        <v>27.9</v>
      </c>
      <c r="D9" s="120">
        <v>258.7</v>
      </c>
      <c r="E9" s="120">
        <v>191</v>
      </c>
      <c r="F9" s="120">
        <v>208.7</v>
      </c>
      <c r="G9" s="120">
        <v>212.8</v>
      </c>
      <c r="H9" s="120">
        <v>73.7</v>
      </c>
      <c r="I9" s="120">
        <v>156.9</v>
      </c>
      <c r="J9" s="120">
        <v>138.9</v>
      </c>
      <c r="K9" s="120">
        <v>61.1</v>
      </c>
      <c r="L9" s="120">
        <v>305.6</v>
      </c>
      <c r="M9" s="120">
        <v>303</v>
      </c>
      <c r="N9" s="120">
        <f t="shared" si="0"/>
        <v>2229.3</v>
      </c>
    </row>
    <row r="10" spans="1:14" ht="15">
      <c r="A10" s="41" t="s">
        <v>89</v>
      </c>
      <c r="B10" s="120">
        <v>1474.1</v>
      </c>
      <c r="C10" s="120">
        <v>2176.2</v>
      </c>
      <c r="D10" s="120">
        <v>996.1</v>
      </c>
      <c r="E10" s="120">
        <v>955.3</v>
      </c>
      <c r="F10" s="120">
        <v>1171.4</v>
      </c>
      <c r="G10" s="120">
        <v>2223.1</v>
      </c>
      <c r="H10" s="120">
        <v>1316</v>
      </c>
      <c r="I10" s="120">
        <v>1060.8</v>
      </c>
      <c r="J10" s="120">
        <v>3320.3</v>
      </c>
      <c r="K10" s="120">
        <v>562.3</v>
      </c>
      <c r="L10" s="120">
        <v>1502.2</v>
      </c>
      <c r="M10" s="120">
        <v>1498.4</v>
      </c>
      <c r="N10" s="120">
        <f t="shared" si="0"/>
        <v>18256.2</v>
      </c>
    </row>
    <row r="11" spans="1:14" ht="15">
      <c r="A11" s="41" t="s">
        <v>90</v>
      </c>
      <c r="B11" s="120">
        <v>3.4</v>
      </c>
      <c r="C11" s="120"/>
      <c r="D11" s="120">
        <v>5.2</v>
      </c>
      <c r="E11" s="120"/>
      <c r="F11" s="120"/>
      <c r="G11" s="120"/>
      <c r="H11" s="120"/>
      <c r="I11" s="120"/>
      <c r="J11" s="120"/>
      <c r="K11" s="120"/>
      <c r="L11" s="120"/>
      <c r="M11" s="120">
        <v>1.7</v>
      </c>
      <c r="N11" s="120">
        <f t="shared" si="0"/>
        <v>10.299999999999999</v>
      </c>
    </row>
    <row r="12" spans="1:14" ht="15">
      <c r="A12" s="41" t="s">
        <v>91</v>
      </c>
      <c r="B12" s="120">
        <v>1831.2</v>
      </c>
      <c r="C12" s="120">
        <v>32548.5</v>
      </c>
      <c r="D12" s="120">
        <v>5356.8</v>
      </c>
      <c r="E12" s="120">
        <v>5284.3</v>
      </c>
      <c r="F12" s="120">
        <v>1724.1</v>
      </c>
      <c r="G12" s="120">
        <v>6228.1</v>
      </c>
      <c r="H12" s="120">
        <v>2803.7</v>
      </c>
      <c r="I12" s="120">
        <v>5119.8</v>
      </c>
      <c r="J12" s="120">
        <v>2469.8</v>
      </c>
      <c r="K12" s="120">
        <v>848.1</v>
      </c>
      <c r="L12" s="120">
        <v>6705.2</v>
      </c>
      <c r="M12" s="120">
        <v>1762.3</v>
      </c>
      <c r="N12" s="120">
        <f t="shared" si="0"/>
        <v>72681.90000000001</v>
      </c>
    </row>
    <row r="13" spans="1:14" ht="15">
      <c r="A13" s="41" t="s">
        <v>92</v>
      </c>
      <c r="B13" s="120">
        <v>944.4</v>
      </c>
      <c r="C13" s="120">
        <v>9042.8</v>
      </c>
      <c r="D13" s="120">
        <v>1845.5</v>
      </c>
      <c r="E13" s="120">
        <v>3022.8</v>
      </c>
      <c r="F13" s="120">
        <v>2627.8</v>
      </c>
      <c r="G13" s="120">
        <v>5569.8</v>
      </c>
      <c r="H13" s="120">
        <v>2240.5</v>
      </c>
      <c r="I13" s="120">
        <v>2576.8</v>
      </c>
      <c r="J13" s="120">
        <v>1560.9</v>
      </c>
      <c r="K13" s="120">
        <v>1927.8</v>
      </c>
      <c r="L13" s="120">
        <v>1388.3</v>
      </c>
      <c r="M13" s="120">
        <v>1533.2</v>
      </c>
      <c r="N13" s="120">
        <f t="shared" si="0"/>
        <v>34280.6</v>
      </c>
    </row>
    <row r="14" spans="1:14" ht="15">
      <c r="A14" s="41" t="s">
        <v>93</v>
      </c>
      <c r="B14" s="120"/>
      <c r="C14" s="120">
        <v>56820.3</v>
      </c>
      <c r="D14" s="120"/>
      <c r="E14" s="120"/>
      <c r="F14" s="120"/>
      <c r="G14" s="120">
        <v>18331.3</v>
      </c>
      <c r="H14" s="120"/>
      <c r="I14" s="120"/>
      <c r="J14" s="120"/>
      <c r="K14" s="120"/>
      <c r="L14" s="120"/>
      <c r="M14" s="120"/>
      <c r="N14" s="120">
        <f t="shared" si="0"/>
        <v>75151.6</v>
      </c>
    </row>
    <row r="15" spans="1:14" ht="15">
      <c r="A15" s="41" t="s">
        <v>94</v>
      </c>
      <c r="B15" s="120"/>
      <c r="C15" s="120">
        <v>911.8</v>
      </c>
      <c r="D15" s="120"/>
      <c r="E15" s="120"/>
      <c r="F15" s="120"/>
      <c r="G15" s="120"/>
      <c r="H15" s="120"/>
      <c r="I15" s="120"/>
      <c r="J15" s="120"/>
      <c r="K15" s="120"/>
      <c r="L15" s="120">
        <v>12563.8</v>
      </c>
      <c r="M15" s="120"/>
      <c r="N15" s="120">
        <f t="shared" si="0"/>
        <v>13475.599999999999</v>
      </c>
    </row>
    <row r="16" spans="1:14" ht="15">
      <c r="A16" s="41" t="s">
        <v>95</v>
      </c>
      <c r="B16" s="120">
        <v>1547</v>
      </c>
      <c r="C16" s="120">
        <v>81.9</v>
      </c>
      <c r="D16" s="120">
        <v>2039.1</v>
      </c>
      <c r="E16" s="120">
        <v>1087.1</v>
      </c>
      <c r="F16" s="120">
        <v>1054.5</v>
      </c>
      <c r="G16" s="120">
        <v>5495.2</v>
      </c>
      <c r="H16" s="120">
        <v>1282</v>
      </c>
      <c r="I16" s="120">
        <v>1247</v>
      </c>
      <c r="J16" s="120">
        <v>2604</v>
      </c>
      <c r="K16" s="120">
        <v>496.4</v>
      </c>
      <c r="L16" s="120">
        <v>1527.9</v>
      </c>
      <c r="M16" s="120">
        <v>1363.1</v>
      </c>
      <c r="N16" s="120">
        <f t="shared" si="0"/>
        <v>19825.2</v>
      </c>
    </row>
    <row r="17" spans="1:14" ht="15">
      <c r="A17" s="41" t="s">
        <v>96</v>
      </c>
      <c r="B17" s="120"/>
      <c r="C17" s="120"/>
      <c r="D17" s="120"/>
      <c r="E17" s="120"/>
      <c r="F17" s="120"/>
      <c r="G17" s="120"/>
      <c r="H17" s="120"/>
      <c r="I17" s="120">
        <v>3910</v>
      </c>
      <c r="J17" s="120"/>
      <c r="K17" s="120"/>
      <c r="L17" s="120"/>
      <c r="M17" s="120"/>
      <c r="N17" s="120">
        <f t="shared" si="0"/>
        <v>3910</v>
      </c>
    </row>
    <row r="18" spans="1:14" ht="15">
      <c r="A18" s="41" t="s">
        <v>97</v>
      </c>
      <c r="B18" s="120">
        <v>60</v>
      </c>
      <c r="C18" s="120">
        <v>120</v>
      </c>
      <c r="D18" s="120">
        <v>60</v>
      </c>
      <c r="E18" s="120">
        <v>189.8</v>
      </c>
      <c r="F18" s="120">
        <v>93.2</v>
      </c>
      <c r="G18" s="120">
        <v>240</v>
      </c>
      <c r="H18" s="120">
        <v>120</v>
      </c>
      <c r="I18" s="120">
        <v>10</v>
      </c>
      <c r="J18" s="120">
        <v>120</v>
      </c>
      <c r="K18" s="120">
        <v>70.7</v>
      </c>
      <c r="L18" s="120">
        <v>120</v>
      </c>
      <c r="M18" s="120">
        <v>120</v>
      </c>
      <c r="N18" s="120">
        <f t="shared" si="0"/>
        <v>1323.7</v>
      </c>
    </row>
    <row r="19" spans="1:14" ht="15">
      <c r="A19" s="41" t="s">
        <v>98</v>
      </c>
      <c r="B19" s="120">
        <v>818.7</v>
      </c>
      <c r="C19" s="120">
        <v>958.1</v>
      </c>
      <c r="D19" s="120">
        <v>1122.4</v>
      </c>
      <c r="E19" s="120">
        <v>642.7</v>
      </c>
      <c r="F19" s="120">
        <v>580.8</v>
      </c>
      <c r="G19" s="120">
        <v>211.1</v>
      </c>
      <c r="H19" s="120">
        <v>762.8</v>
      </c>
      <c r="I19" s="120">
        <v>649.6</v>
      </c>
      <c r="J19" s="120">
        <v>404.9</v>
      </c>
      <c r="K19" s="120">
        <v>78.9</v>
      </c>
      <c r="L19" s="120">
        <v>1020.9</v>
      </c>
      <c r="M19" s="120">
        <v>710.4</v>
      </c>
      <c r="N19" s="120">
        <f t="shared" si="0"/>
        <v>7961.3</v>
      </c>
    </row>
    <row r="20" spans="1:14" ht="15">
      <c r="A20" s="41" t="s">
        <v>99</v>
      </c>
      <c r="B20" s="120">
        <v>719</v>
      </c>
      <c r="C20" s="120">
        <v>17575.4</v>
      </c>
      <c r="D20" s="120">
        <v>918.5</v>
      </c>
      <c r="E20" s="120">
        <v>1175.8</v>
      </c>
      <c r="F20" s="120">
        <v>1016.9</v>
      </c>
      <c r="G20" s="120">
        <v>8054.3</v>
      </c>
      <c r="H20" s="120">
        <v>259.6</v>
      </c>
      <c r="I20" s="120">
        <v>6108.5</v>
      </c>
      <c r="J20" s="120">
        <v>912.5</v>
      </c>
      <c r="K20" s="120">
        <v>886.1</v>
      </c>
      <c r="L20" s="120">
        <v>2600.8</v>
      </c>
      <c r="M20" s="120">
        <v>2226.5</v>
      </c>
      <c r="N20" s="120">
        <f t="shared" si="0"/>
        <v>42453.9</v>
      </c>
    </row>
    <row r="21" spans="1:14" ht="15">
      <c r="A21" s="41" t="s">
        <v>100</v>
      </c>
      <c r="B21" s="121">
        <v>1466.1</v>
      </c>
      <c r="C21" s="121">
        <v>893.1</v>
      </c>
      <c r="D21" s="121">
        <v>1170.1</v>
      </c>
      <c r="E21" s="121">
        <v>1255.1</v>
      </c>
      <c r="F21" s="121">
        <v>1467.5</v>
      </c>
      <c r="G21" s="121">
        <v>9195.7</v>
      </c>
      <c r="H21" s="121">
        <v>1723.3</v>
      </c>
      <c r="I21" s="121">
        <v>938.4</v>
      </c>
      <c r="J21" s="121">
        <v>1282.6</v>
      </c>
      <c r="K21" s="121">
        <v>546.7</v>
      </c>
      <c r="L21" s="121">
        <v>2606.6</v>
      </c>
      <c r="M21" s="121">
        <v>3036.6</v>
      </c>
      <c r="N21" s="121">
        <f t="shared" si="0"/>
        <v>25581.8</v>
      </c>
    </row>
    <row r="22" spans="1:14" ht="15">
      <c r="A22" s="42" t="s">
        <v>101</v>
      </c>
      <c r="B22" s="121">
        <f aca="true" t="shared" si="1" ref="B22:M22">SUM(B5:B21)</f>
        <v>22359.100000000002</v>
      </c>
      <c r="C22" s="121">
        <f t="shared" si="1"/>
        <v>146377.7</v>
      </c>
      <c r="D22" s="121">
        <f t="shared" si="1"/>
        <v>32818.9</v>
      </c>
      <c r="E22" s="121">
        <f t="shared" si="1"/>
        <v>25881.099999999995</v>
      </c>
      <c r="F22" s="121">
        <f t="shared" si="1"/>
        <v>24267.7</v>
      </c>
      <c r="G22" s="121">
        <f t="shared" si="1"/>
        <v>76487.29999999999</v>
      </c>
      <c r="H22" s="121">
        <f t="shared" si="1"/>
        <v>23824.3</v>
      </c>
      <c r="I22" s="121">
        <f t="shared" si="1"/>
        <v>35499.6</v>
      </c>
      <c r="J22" s="121">
        <f t="shared" si="1"/>
        <v>32198.9</v>
      </c>
      <c r="K22" s="121">
        <f t="shared" si="1"/>
        <v>13065.000000000002</v>
      </c>
      <c r="L22" s="121">
        <f t="shared" si="1"/>
        <v>49559.8</v>
      </c>
      <c r="M22" s="121">
        <f t="shared" si="1"/>
        <v>24326.8</v>
      </c>
      <c r="N22" s="121">
        <f>SUM(B22:M22)</f>
        <v>506666.2</v>
      </c>
    </row>
    <row r="23" spans="2:14" ht="1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6" ht="15">
      <c r="A24" s="87" t="s">
        <v>102</v>
      </c>
      <c r="B24" s="123">
        <f>SUM(B5+B7)</f>
        <v>12837.5</v>
      </c>
      <c r="C24" s="123">
        <f>SUM(C5+C7+C33+C34)</f>
        <v>44049.399999999994</v>
      </c>
      <c r="D24" s="123">
        <f aca="true" t="shared" si="2" ref="D24:L24">SUM(D5+D7)</f>
        <v>18126.399999999998</v>
      </c>
      <c r="E24" s="123">
        <f t="shared" si="2"/>
        <v>11657.8</v>
      </c>
      <c r="F24" s="123">
        <f t="shared" si="2"/>
        <v>13832.3</v>
      </c>
      <c r="G24" s="123">
        <f>SUM(G5+G7+G33+G34)</f>
        <v>31980.5</v>
      </c>
      <c r="H24" s="123">
        <f t="shared" si="2"/>
        <v>12680.400000000001</v>
      </c>
      <c r="I24" s="123">
        <f t="shared" si="2"/>
        <v>13076.599999999999</v>
      </c>
      <c r="J24" s="123">
        <f t="shared" si="2"/>
        <v>18872.699999999997</v>
      </c>
      <c r="K24" s="123">
        <f t="shared" si="2"/>
        <v>7010.200000000001</v>
      </c>
      <c r="L24" s="123">
        <f t="shared" si="2"/>
        <v>18184.6</v>
      </c>
      <c r="M24" s="123">
        <f>SUM(M5+M7)</f>
        <v>11453.9</v>
      </c>
      <c r="N24" s="122"/>
      <c r="O24" s="43"/>
      <c r="P24" s="43"/>
    </row>
    <row r="25" spans="1:16" ht="15">
      <c r="A25" s="89">
        <v>223</v>
      </c>
      <c r="B25" s="123">
        <f>SUM(B10)</f>
        <v>1474.1</v>
      </c>
      <c r="C25" s="123">
        <f>SUM(C10+C35)</f>
        <v>3629.3999999999996</v>
      </c>
      <c r="D25" s="123">
        <f aca="true" t="shared" si="3" ref="D25:L25">SUM(D10)</f>
        <v>996.1</v>
      </c>
      <c r="E25" s="123">
        <f t="shared" si="3"/>
        <v>955.3</v>
      </c>
      <c r="F25" s="123">
        <f t="shared" si="3"/>
        <v>1171.4</v>
      </c>
      <c r="G25" s="123">
        <f>SUM(G10+G35)</f>
        <v>4730.5</v>
      </c>
      <c r="H25" s="123">
        <f t="shared" si="3"/>
        <v>1316</v>
      </c>
      <c r="I25" s="123">
        <f t="shared" si="3"/>
        <v>1060.8</v>
      </c>
      <c r="J25" s="123">
        <f t="shared" si="3"/>
        <v>3320.3</v>
      </c>
      <c r="K25" s="123">
        <f t="shared" si="3"/>
        <v>562.3</v>
      </c>
      <c r="L25" s="123">
        <f t="shared" si="3"/>
        <v>1502.2</v>
      </c>
      <c r="M25" s="123">
        <f>SUM(M10+M35)</f>
        <v>1498.4</v>
      </c>
      <c r="N25" s="122"/>
      <c r="O25" s="44"/>
      <c r="P25" s="43"/>
    </row>
    <row r="26" spans="1:16" ht="15">
      <c r="A26" s="89" t="s">
        <v>103</v>
      </c>
      <c r="B26" s="123">
        <f>SUM(B24/B22)</f>
        <v>0.5741510168119468</v>
      </c>
      <c r="C26" s="123">
        <f aca="true" t="shared" si="4" ref="C26:M26">SUM(C24/C22)</f>
        <v>0.30092971811963154</v>
      </c>
      <c r="D26" s="123">
        <f t="shared" si="4"/>
        <v>0.5523158911480883</v>
      </c>
      <c r="E26" s="123">
        <f t="shared" si="4"/>
        <v>0.45043680523625357</v>
      </c>
      <c r="F26" s="123">
        <f t="shared" si="4"/>
        <v>0.5699880911664476</v>
      </c>
      <c r="G26" s="123">
        <f t="shared" si="4"/>
        <v>0.41811516421680467</v>
      </c>
      <c r="H26" s="123">
        <f t="shared" si="4"/>
        <v>0.532246487829653</v>
      </c>
      <c r="I26" s="123">
        <f t="shared" si="4"/>
        <v>0.368359080102311</v>
      </c>
      <c r="J26" s="123">
        <f t="shared" si="4"/>
        <v>0.5861287186829363</v>
      </c>
      <c r="K26" s="123">
        <f t="shared" si="4"/>
        <v>0.5365633371603521</v>
      </c>
      <c r="L26" s="123">
        <f t="shared" si="4"/>
        <v>0.3669223846746758</v>
      </c>
      <c r="M26" s="123">
        <f t="shared" si="4"/>
        <v>0.47083463505269907</v>
      </c>
      <c r="N26" s="124">
        <f>SUM(B26:M26)</f>
        <v>5.7269913302018</v>
      </c>
      <c r="O26" s="45">
        <f>SUM(N26/12)</f>
        <v>0.4772492775168167</v>
      </c>
      <c r="P26" s="46" t="s">
        <v>103</v>
      </c>
    </row>
    <row r="27" spans="1:16" ht="15">
      <c r="A27" s="89" t="s">
        <v>104</v>
      </c>
      <c r="B27" s="123">
        <f>SUM(B25/B22)</f>
        <v>0.06592841393437122</v>
      </c>
      <c r="C27" s="123">
        <f aca="true" t="shared" si="5" ref="C27:M27">SUM(C25/C22)</f>
        <v>0.02479476040407794</v>
      </c>
      <c r="D27" s="123">
        <f t="shared" si="5"/>
        <v>0.030351413362422263</v>
      </c>
      <c r="E27" s="123">
        <f t="shared" si="5"/>
        <v>0.03691110501485641</v>
      </c>
      <c r="F27" s="123">
        <f t="shared" si="5"/>
        <v>0.048269922571978395</v>
      </c>
      <c r="G27" s="123">
        <f t="shared" si="5"/>
        <v>0.061846868695848864</v>
      </c>
      <c r="H27" s="123">
        <f t="shared" si="5"/>
        <v>0.05523771947129612</v>
      </c>
      <c r="I27" s="123">
        <f t="shared" si="5"/>
        <v>0.029882026839739038</v>
      </c>
      <c r="J27" s="123">
        <f t="shared" si="5"/>
        <v>0.10311842951156716</v>
      </c>
      <c r="K27" s="123">
        <f t="shared" si="5"/>
        <v>0.04303865288939915</v>
      </c>
      <c r="L27" s="123">
        <f t="shared" si="5"/>
        <v>0.030310856783118574</v>
      </c>
      <c r="M27" s="123">
        <f t="shared" si="5"/>
        <v>0.06159461992534983</v>
      </c>
      <c r="N27" s="124">
        <f>SUM(B27:M27)</f>
        <v>0.5912847894040251</v>
      </c>
      <c r="O27" s="45">
        <f>SUM(N27/12)</f>
        <v>0.04927373245033542</v>
      </c>
      <c r="P27" s="46" t="s">
        <v>104</v>
      </c>
    </row>
    <row r="28" spans="1:16" ht="15">
      <c r="A28" s="88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43"/>
      <c r="P28" s="43"/>
    </row>
    <row r="29" spans="1:16" ht="15">
      <c r="A29" s="88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43"/>
      <c r="P29" s="43"/>
    </row>
    <row r="30" spans="1:14" ht="15">
      <c r="A30" s="88" t="s">
        <v>132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</row>
    <row r="31" spans="1:14" ht="15">
      <c r="A31" s="90">
        <v>241</v>
      </c>
      <c r="B31" s="125"/>
      <c r="C31" s="126">
        <f>C14</f>
        <v>56820.3</v>
      </c>
      <c r="D31" s="125"/>
      <c r="E31" s="125"/>
      <c r="F31" s="125"/>
      <c r="G31" s="126">
        <f>G14</f>
        <v>18331.3</v>
      </c>
      <c r="H31" s="125"/>
      <c r="I31" s="125"/>
      <c r="J31" s="125"/>
      <c r="K31" s="125"/>
      <c r="L31" s="125"/>
      <c r="M31" s="125"/>
      <c r="N31" s="126">
        <f>C31+G31</f>
        <v>75151.6</v>
      </c>
    </row>
    <row r="32" spans="1:14" ht="15">
      <c r="A32" s="88" t="s">
        <v>133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4" ht="15">
      <c r="A33" s="90">
        <v>211</v>
      </c>
      <c r="B33" s="125"/>
      <c r="C33" s="125">
        <v>15206.2</v>
      </c>
      <c r="D33" s="125"/>
      <c r="E33" s="125"/>
      <c r="F33" s="125"/>
      <c r="G33" s="125">
        <v>9603.6</v>
      </c>
      <c r="H33" s="125"/>
      <c r="I33" s="125"/>
      <c r="J33" s="125"/>
      <c r="K33" s="125"/>
      <c r="L33" s="125"/>
      <c r="M33" s="125"/>
      <c r="N33" s="125"/>
    </row>
    <row r="34" spans="1:14" ht="15">
      <c r="A34" s="90">
        <v>213</v>
      </c>
      <c r="B34" s="125"/>
      <c r="C34" s="125">
        <v>4575</v>
      </c>
      <c r="D34" s="125"/>
      <c r="E34" s="125"/>
      <c r="F34" s="125"/>
      <c r="G34" s="125">
        <v>2687</v>
      </c>
      <c r="H34" s="125"/>
      <c r="I34" s="125"/>
      <c r="J34" s="125"/>
      <c r="K34" s="125"/>
      <c r="L34" s="125"/>
      <c r="M34" s="125"/>
      <c r="N34" s="125"/>
    </row>
    <row r="35" spans="1:14" ht="15">
      <c r="A35" s="90">
        <v>223</v>
      </c>
      <c r="B35" s="125"/>
      <c r="C35" s="125">
        <v>1453.2</v>
      </c>
      <c r="D35" s="125"/>
      <c r="E35" s="125"/>
      <c r="F35" s="125"/>
      <c r="G35" s="125">
        <v>2507.4</v>
      </c>
      <c r="H35" s="125"/>
      <c r="I35" s="125"/>
      <c r="J35" s="125"/>
      <c r="K35" s="125"/>
      <c r="L35" s="125"/>
      <c r="M35" s="125"/>
      <c r="N35" s="125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10.421875" style="0" customWidth="1"/>
    <col min="2" max="2" width="12.00390625" style="0" customWidth="1"/>
    <col min="3" max="3" width="16.421875" style="0" bestFit="1" customWidth="1"/>
    <col min="4" max="4" width="10.7109375" style="0" bestFit="1" customWidth="1"/>
    <col min="5" max="5" width="17.7109375" style="0" bestFit="1" customWidth="1"/>
    <col min="6" max="6" width="9.00390625" style="0" bestFit="1" customWidth="1"/>
    <col min="7" max="7" width="10.421875" style="0" bestFit="1" customWidth="1"/>
    <col min="8" max="8" width="11.00390625" style="0" bestFit="1" customWidth="1"/>
    <col min="9" max="9" width="11.140625" style="0" bestFit="1" customWidth="1"/>
    <col min="10" max="10" width="11.00390625" style="0" bestFit="1" customWidth="1"/>
    <col min="11" max="11" width="8.8515625" style="0" customWidth="1"/>
    <col min="12" max="12" width="9.00390625" style="0" bestFit="1" customWidth="1"/>
    <col min="13" max="13" width="9.28125" style="0" bestFit="1" customWidth="1"/>
    <col min="14" max="14" width="10.8515625" style="0" bestFit="1" customWidth="1"/>
  </cols>
  <sheetData>
    <row r="1" spans="1:14" ht="18.75">
      <c r="A1" s="153" t="s">
        <v>137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5">
      <c r="A2" s="127" t="s">
        <v>105</v>
      </c>
      <c r="B2" s="128" t="s">
        <v>81</v>
      </c>
      <c r="C2" s="128" t="s">
        <v>1</v>
      </c>
      <c r="D2" s="128" t="s">
        <v>10</v>
      </c>
      <c r="E2" s="128" t="s">
        <v>8</v>
      </c>
      <c r="F2" s="128" t="s">
        <v>11</v>
      </c>
      <c r="G2" s="128" t="s">
        <v>15</v>
      </c>
      <c r="H2" s="128" t="s">
        <v>82</v>
      </c>
      <c r="I2" s="128" t="s">
        <v>2</v>
      </c>
      <c r="J2" s="128" t="s">
        <v>6</v>
      </c>
      <c r="K2" s="128" t="s">
        <v>12</v>
      </c>
      <c r="L2" s="128" t="s">
        <v>3</v>
      </c>
      <c r="M2" s="128" t="s">
        <v>4</v>
      </c>
      <c r="N2" s="128" t="s">
        <v>83</v>
      </c>
    </row>
    <row r="3" spans="1:14" ht="15.75">
      <c r="A3" s="129" t="s">
        <v>106</v>
      </c>
      <c r="B3" s="130">
        <v>9885.4</v>
      </c>
      <c r="C3" s="130">
        <v>25768.9</v>
      </c>
      <c r="D3" s="130">
        <v>13677.8</v>
      </c>
      <c r="E3" s="130">
        <v>9589.1</v>
      </c>
      <c r="F3" s="130">
        <v>10481.4</v>
      </c>
      <c r="G3" s="130">
        <v>21693.4</v>
      </c>
      <c r="H3" s="130">
        <v>10365.3</v>
      </c>
      <c r="I3" s="130">
        <v>10539.4</v>
      </c>
      <c r="J3" s="130">
        <v>11735.7</v>
      </c>
      <c r="K3" s="130">
        <v>5715.8</v>
      </c>
      <c r="L3" s="130">
        <v>15383.5</v>
      </c>
      <c r="M3" s="130">
        <v>10820.4</v>
      </c>
      <c r="N3" s="130">
        <v>156238.2</v>
      </c>
    </row>
    <row r="4" spans="1:14" ht="15.75">
      <c r="A4" s="129" t="s">
        <v>134</v>
      </c>
      <c r="B4" s="130">
        <v>124.9</v>
      </c>
      <c r="C4" s="130">
        <v>667</v>
      </c>
      <c r="D4" s="130">
        <v>71.3</v>
      </c>
      <c r="E4" s="130">
        <v>136.5</v>
      </c>
      <c r="F4" s="130">
        <v>130.1</v>
      </c>
      <c r="G4" s="130">
        <v>340.7</v>
      </c>
      <c r="H4" s="130">
        <v>123.8</v>
      </c>
      <c r="I4" s="130">
        <v>130.1</v>
      </c>
      <c r="J4" s="130">
        <v>80.4</v>
      </c>
      <c r="K4" s="130">
        <v>132.3</v>
      </c>
      <c r="L4" s="130">
        <v>117.7</v>
      </c>
      <c r="M4" s="130">
        <v>131.2</v>
      </c>
      <c r="N4" s="130">
        <v>2452.3</v>
      </c>
    </row>
    <row r="5" spans="1:14" ht="15.75">
      <c r="A5" s="129" t="s">
        <v>107</v>
      </c>
      <c r="B5" s="130">
        <v>259.5</v>
      </c>
      <c r="C5" s="130">
        <v>2054.8</v>
      </c>
      <c r="D5" s="130">
        <v>316.7</v>
      </c>
      <c r="E5" s="130">
        <v>613.3</v>
      </c>
      <c r="F5" s="130">
        <v>177.3</v>
      </c>
      <c r="G5" s="130">
        <v>743.5</v>
      </c>
      <c r="H5" s="130">
        <v>180.7</v>
      </c>
      <c r="I5" s="130">
        <v>1304.4</v>
      </c>
      <c r="J5" s="130">
        <v>223.1</v>
      </c>
      <c r="K5" s="130">
        <v>370.1</v>
      </c>
      <c r="L5" s="130">
        <v>410.1</v>
      </c>
      <c r="M5" s="130">
        <v>207.1</v>
      </c>
      <c r="N5" s="130">
        <v>6830.6</v>
      </c>
    </row>
    <row r="6" spans="1:14" ht="15.75">
      <c r="A6" s="129" t="s">
        <v>108</v>
      </c>
      <c r="B6" s="130">
        <v>1418.3</v>
      </c>
      <c r="C6" s="130">
        <v>3928.6</v>
      </c>
      <c r="D6" s="130">
        <v>1874.4</v>
      </c>
      <c r="E6" s="130">
        <v>3012.4</v>
      </c>
      <c r="F6" s="130">
        <v>1939.4</v>
      </c>
      <c r="G6" s="130">
        <v>5365.4</v>
      </c>
      <c r="H6" s="130">
        <v>2570.9</v>
      </c>
      <c r="I6" s="130">
        <v>2105.1</v>
      </c>
      <c r="J6" s="130">
        <v>1800.5</v>
      </c>
      <c r="K6" s="130">
        <v>318.6</v>
      </c>
      <c r="L6" s="130">
        <v>1840.2</v>
      </c>
      <c r="M6" s="130">
        <v>1331.8</v>
      </c>
      <c r="N6" s="130">
        <v>47473.3</v>
      </c>
    </row>
    <row r="7" spans="1:14" ht="15.75">
      <c r="A7" s="129" t="s">
        <v>109</v>
      </c>
      <c r="B7" s="130">
        <v>2865.7</v>
      </c>
      <c r="C7" s="130">
        <v>88505.1</v>
      </c>
      <c r="D7" s="130">
        <v>6364.2</v>
      </c>
      <c r="E7" s="130">
        <v>6850</v>
      </c>
      <c r="F7" s="130">
        <v>4640.1</v>
      </c>
      <c r="G7" s="130">
        <v>25559.6</v>
      </c>
      <c r="H7" s="130">
        <v>2971.7</v>
      </c>
      <c r="I7" s="130">
        <v>10308.9</v>
      </c>
      <c r="J7" s="130">
        <v>3323.7</v>
      </c>
      <c r="K7" s="130">
        <v>1249.5</v>
      </c>
      <c r="L7" s="130">
        <v>22801.9</v>
      </c>
      <c r="M7" s="130">
        <v>5747.3</v>
      </c>
      <c r="N7" s="130">
        <v>84196.4</v>
      </c>
    </row>
    <row r="8" spans="1:14" ht="15.75" hidden="1">
      <c r="A8" s="129" t="s">
        <v>110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5.75">
      <c r="A9" s="129" t="s">
        <v>111</v>
      </c>
      <c r="B9" s="130">
        <v>560.9</v>
      </c>
      <c r="C9" s="130">
        <v>427.7</v>
      </c>
      <c r="D9" s="130">
        <v>545.8</v>
      </c>
      <c r="E9" s="130">
        <v>285.3</v>
      </c>
      <c r="F9" s="130">
        <v>501</v>
      </c>
      <c r="G9" s="130">
        <v>515.8</v>
      </c>
      <c r="H9" s="130">
        <v>445.9</v>
      </c>
      <c r="I9" s="130">
        <v>360</v>
      </c>
      <c r="J9" s="130">
        <v>890.8</v>
      </c>
      <c r="K9" s="130">
        <v>94.7</v>
      </c>
      <c r="L9" s="130">
        <v>759.7</v>
      </c>
      <c r="M9" s="130">
        <v>330.9</v>
      </c>
      <c r="N9" s="130">
        <v>5916.5</v>
      </c>
    </row>
    <row r="10" spans="1:14" ht="15.75">
      <c r="A10" s="129" t="s">
        <v>112</v>
      </c>
      <c r="B10" s="130">
        <v>6343.3</v>
      </c>
      <c r="C10" s="130">
        <v>23705.6</v>
      </c>
      <c r="D10" s="130">
        <v>9243.2</v>
      </c>
      <c r="E10" s="130">
        <v>4624.6</v>
      </c>
      <c r="F10" s="130">
        <v>5814.5</v>
      </c>
      <c r="G10" s="130">
        <v>19817.4</v>
      </c>
      <c r="H10" s="130">
        <v>6528.8</v>
      </c>
      <c r="I10" s="130">
        <v>6462.6</v>
      </c>
      <c r="J10" s="130">
        <v>13618.5</v>
      </c>
      <c r="K10" s="130">
        <v>4660.9</v>
      </c>
      <c r="L10" s="130">
        <v>7724.2</v>
      </c>
      <c r="M10" s="130">
        <v>5554.6</v>
      </c>
      <c r="N10" s="130">
        <v>103942.5</v>
      </c>
    </row>
    <row r="11" spans="1:14" ht="15.75" hidden="1">
      <c r="A11" s="129" t="s">
        <v>113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ht="15.75">
      <c r="A12" s="129" t="s">
        <v>114</v>
      </c>
      <c r="B12" s="130">
        <v>60</v>
      </c>
      <c r="C12" s="130">
        <v>120</v>
      </c>
      <c r="D12" s="130">
        <v>60</v>
      </c>
      <c r="E12" s="130">
        <v>189.8</v>
      </c>
      <c r="F12" s="130">
        <v>93.2</v>
      </c>
      <c r="G12" s="130">
        <v>240</v>
      </c>
      <c r="H12" s="130">
        <v>120</v>
      </c>
      <c r="I12" s="130">
        <v>3920</v>
      </c>
      <c r="J12" s="130">
        <v>120</v>
      </c>
      <c r="K12" s="130">
        <v>70.8</v>
      </c>
      <c r="L12" s="130">
        <v>120</v>
      </c>
      <c r="M12" s="130">
        <v>120</v>
      </c>
      <c r="N12" s="130">
        <v>5464.6</v>
      </c>
    </row>
    <row r="13" spans="1:14" ht="15.75">
      <c r="A13" s="129" t="s">
        <v>115</v>
      </c>
      <c r="B13" s="130">
        <v>841.1</v>
      </c>
      <c r="C13" s="130">
        <v>1200</v>
      </c>
      <c r="D13" s="130">
        <v>665.5</v>
      </c>
      <c r="E13" s="130">
        <v>580.1</v>
      </c>
      <c r="F13" s="130">
        <v>490.7</v>
      </c>
      <c r="G13" s="130">
        <v>2211.5</v>
      </c>
      <c r="H13" s="130">
        <v>517.2</v>
      </c>
      <c r="I13" s="130">
        <v>369.1</v>
      </c>
      <c r="J13" s="130">
        <v>406.2</v>
      </c>
      <c r="K13" s="130">
        <v>452.3</v>
      </c>
      <c r="L13" s="130">
        <v>402.5</v>
      </c>
      <c r="M13" s="130">
        <v>83.5</v>
      </c>
      <c r="N13" s="130">
        <v>6814</v>
      </c>
    </row>
    <row r="14" spans="1:14" ht="15.75">
      <c r="A14" s="131" t="s">
        <v>101</v>
      </c>
      <c r="B14" s="130">
        <f aca="true" t="shared" si="0" ref="B14:M14">SUM(B3:B13)</f>
        <v>22359.1</v>
      </c>
      <c r="C14" s="130">
        <f t="shared" si="0"/>
        <v>146377.7</v>
      </c>
      <c r="D14" s="130">
        <f t="shared" si="0"/>
        <v>32818.899999999994</v>
      </c>
      <c r="E14" s="130">
        <f t="shared" si="0"/>
        <v>25881.099999999995</v>
      </c>
      <c r="F14" s="130">
        <f t="shared" si="0"/>
        <v>24267.7</v>
      </c>
      <c r="G14" s="130">
        <f t="shared" si="0"/>
        <v>76487.3</v>
      </c>
      <c r="H14" s="130">
        <f t="shared" si="0"/>
        <v>23824.3</v>
      </c>
      <c r="I14" s="130">
        <f t="shared" si="0"/>
        <v>35499.6</v>
      </c>
      <c r="J14" s="130">
        <f t="shared" si="0"/>
        <v>32198.9</v>
      </c>
      <c r="K14" s="130">
        <f t="shared" si="0"/>
        <v>13065</v>
      </c>
      <c r="L14" s="130">
        <f t="shared" si="0"/>
        <v>49559.799999999996</v>
      </c>
      <c r="M14" s="130">
        <f t="shared" si="0"/>
        <v>24326.800000000003</v>
      </c>
      <c r="N14" s="130">
        <f>SUM(B14:M14)</f>
        <v>506666.2</v>
      </c>
    </row>
    <row r="15" spans="1:14" ht="15.75">
      <c r="A15" s="132"/>
      <c r="B15" s="133"/>
      <c r="C15" s="134"/>
      <c r="D15" s="134"/>
      <c r="E15" s="133"/>
      <c r="F15" s="133"/>
      <c r="G15" s="133"/>
      <c r="H15" s="133"/>
      <c r="I15" s="135"/>
      <c r="J15" s="135"/>
      <c r="K15" s="133"/>
      <c r="L15" s="133"/>
      <c r="M15" s="133"/>
      <c r="N15" s="135"/>
    </row>
    <row r="16" spans="1:14" ht="18.75">
      <c r="A16" s="154" t="s">
        <v>119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6" ht="15">
      <c r="A17" s="91" t="s">
        <v>116</v>
      </c>
      <c r="B17" s="126">
        <f>SUM(B3+B10)</f>
        <v>16228.7</v>
      </c>
      <c r="C17" s="126">
        <f aca="true" t="shared" si="1" ref="C17:N17">SUM(C3+C10)</f>
        <v>49474.5</v>
      </c>
      <c r="D17" s="126">
        <f t="shared" si="1"/>
        <v>22921</v>
      </c>
      <c r="E17" s="126">
        <f t="shared" si="1"/>
        <v>14213.7</v>
      </c>
      <c r="F17" s="126">
        <f t="shared" si="1"/>
        <v>16295.9</v>
      </c>
      <c r="G17" s="126">
        <f t="shared" si="1"/>
        <v>41510.8</v>
      </c>
      <c r="H17" s="126">
        <f t="shared" si="1"/>
        <v>16894.1</v>
      </c>
      <c r="I17" s="126">
        <f t="shared" si="1"/>
        <v>17002</v>
      </c>
      <c r="J17" s="126">
        <f t="shared" si="1"/>
        <v>25354.2</v>
      </c>
      <c r="K17" s="126">
        <f t="shared" si="1"/>
        <v>10376.7</v>
      </c>
      <c r="L17" s="126">
        <f t="shared" si="1"/>
        <v>23107.7</v>
      </c>
      <c r="M17" s="126">
        <f t="shared" si="1"/>
        <v>16375</v>
      </c>
      <c r="N17" s="126">
        <f t="shared" si="1"/>
        <v>260180.7</v>
      </c>
      <c r="O17" s="45">
        <f>SUM(N17/N14)</f>
        <v>0.5135150124480378</v>
      </c>
      <c r="P17" s="46" t="s">
        <v>117</v>
      </c>
    </row>
    <row r="18" spans="1:14" ht="1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1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1:14" ht="18.75">
      <c r="A20" s="154" t="s">
        <v>120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ht="30">
      <c r="A21" s="136" t="s">
        <v>128</v>
      </c>
      <c r="B21" s="137" t="s">
        <v>81</v>
      </c>
      <c r="C21" s="137" t="s">
        <v>1</v>
      </c>
      <c r="D21" s="137" t="s">
        <v>10</v>
      </c>
      <c r="E21" s="137" t="s">
        <v>8</v>
      </c>
      <c r="F21" s="137" t="s">
        <v>11</v>
      </c>
      <c r="G21" s="137" t="s">
        <v>15</v>
      </c>
      <c r="H21" s="137" t="s">
        <v>82</v>
      </c>
      <c r="I21" s="137" t="s">
        <v>2</v>
      </c>
      <c r="J21" s="137" t="s">
        <v>6</v>
      </c>
      <c r="K21" s="137" t="s">
        <v>12</v>
      </c>
      <c r="L21" s="137" t="s">
        <v>3</v>
      </c>
      <c r="M21" s="137" t="s">
        <v>4</v>
      </c>
      <c r="N21" s="137" t="s">
        <v>83</v>
      </c>
    </row>
    <row r="22" spans="1:14" ht="15">
      <c r="A22" s="138" t="s">
        <v>126</v>
      </c>
      <c r="B22" s="121">
        <v>461.7</v>
      </c>
      <c r="C22" s="121">
        <v>3749.9</v>
      </c>
      <c r="D22" s="121">
        <v>2801.4</v>
      </c>
      <c r="E22" s="121">
        <v>2416.2</v>
      </c>
      <c r="F22" s="121">
        <v>556.2</v>
      </c>
      <c r="G22" s="121">
        <v>1919.8</v>
      </c>
      <c r="H22" s="121"/>
      <c r="I22" s="121">
        <v>1968.4</v>
      </c>
      <c r="J22" s="121">
        <v>6.4</v>
      </c>
      <c r="K22" s="121">
        <v>50</v>
      </c>
      <c r="L22" s="121"/>
      <c r="M22" s="121"/>
      <c r="N22" s="121">
        <f>SUM(B22:M22)</f>
        <v>13930</v>
      </c>
    </row>
    <row r="23" spans="1:14" ht="15">
      <c r="A23" s="138" t="s">
        <v>127</v>
      </c>
      <c r="B23" s="121">
        <v>27</v>
      </c>
      <c r="C23" s="121">
        <v>354.4</v>
      </c>
      <c r="D23" s="121">
        <v>317.7</v>
      </c>
      <c r="E23" s="121">
        <v>486.6</v>
      </c>
      <c r="F23" s="121">
        <v>107.3</v>
      </c>
      <c r="G23" s="121">
        <v>233.5</v>
      </c>
      <c r="H23" s="121">
        <v>400.9</v>
      </c>
      <c r="I23" s="121">
        <v>55.2</v>
      </c>
      <c r="J23" s="121">
        <v>140.3</v>
      </c>
      <c r="K23" s="121">
        <v>39.6</v>
      </c>
      <c r="L23" s="121">
        <v>373.5</v>
      </c>
      <c r="M23" s="121"/>
      <c r="N23" s="121">
        <f>SUM(B23:M23)</f>
        <v>2535.9999999999995</v>
      </c>
    </row>
    <row r="24" spans="1:16" ht="15">
      <c r="A24" s="131" t="s">
        <v>101</v>
      </c>
      <c r="B24" s="139">
        <f>SUM(B22:B23)</f>
        <v>488.7</v>
      </c>
      <c r="C24" s="139">
        <f aca="true" t="shared" si="2" ref="C24:M24">SUM(C22:C23)</f>
        <v>4104.3</v>
      </c>
      <c r="D24" s="139">
        <f t="shared" si="2"/>
        <v>3119.1</v>
      </c>
      <c r="E24" s="139">
        <f t="shared" si="2"/>
        <v>2902.7999999999997</v>
      </c>
      <c r="F24" s="139">
        <f t="shared" si="2"/>
        <v>663.5</v>
      </c>
      <c r="G24" s="139">
        <f t="shared" si="2"/>
        <v>2153.3</v>
      </c>
      <c r="H24" s="139">
        <f t="shared" si="2"/>
        <v>400.9</v>
      </c>
      <c r="I24" s="139">
        <f t="shared" si="2"/>
        <v>2023.6000000000001</v>
      </c>
      <c r="J24" s="139">
        <f t="shared" si="2"/>
        <v>146.70000000000002</v>
      </c>
      <c r="K24" s="139">
        <f t="shared" si="2"/>
        <v>89.6</v>
      </c>
      <c r="L24" s="139">
        <f t="shared" si="2"/>
        <v>373.5</v>
      </c>
      <c r="M24" s="139">
        <f t="shared" si="2"/>
        <v>0</v>
      </c>
      <c r="N24" s="139">
        <f>SUM(B24:M24)</f>
        <v>16466</v>
      </c>
      <c r="O24" s="49">
        <f>SUM(N24/N14)</f>
        <v>0.0324987141435525</v>
      </c>
      <c r="P24" s="46" t="s">
        <v>118</v>
      </c>
    </row>
    <row r="25" spans="1:14" ht="1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4" ht="1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18.75">
      <c r="A27" s="154" t="s">
        <v>121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1:14" ht="15">
      <c r="A28" s="137"/>
      <c r="B28" s="137" t="s">
        <v>81</v>
      </c>
      <c r="C28" s="137" t="s">
        <v>1</v>
      </c>
      <c r="D28" s="137" t="s">
        <v>10</v>
      </c>
      <c r="E28" s="137" t="s">
        <v>8</v>
      </c>
      <c r="F28" s="137" t="s">
        <v>11</v>
      </c>
      <c r="G28" s="137" t="s">
        <v>15</v>
      </c>
      <c r="H28" s="137" t="s">
        <v>82</v>
      </c>
      <c r="I28" s="137" t="s">
        <v>2</v>
      </c>
      <c r="J28" s="137" t="s">
        <v>6</v>
      </c>
      <c r="K28" s="137" t="s">
        <v>12</v>
      </c>
      <c r="L28" s="137" t="s">
        <v>3</v>
      </c>
      <c r="M28" s="137" t="s">
        <v>4</v>
      </c>
      <c r="N28" s="137" t="s">
        <v>83</v>
      </c>
    </row>
    <row r="29" spans="1:16" ht="15">
      <c r="A29" s="140"/>
      <c r="B29" s="141">
        <f aca="true" t="shared" si="3" ref="B29:M29">SUM(B14-B17-B24)</f>
        <v>5641.699999999998</v>
      </c>
      <c r="C29" s="141">
        <f t="shared" si="3"/>
        <v>92798.90000000001</v>
      </c>
      <c r="D29" s="141">
        <f t="shared" si="3"/>
        <v>6778.799999999994</v>
      </c>
      <c r="E29" s="141">
        <f t="shared" si="3"/>
        <v>8764.599999999995</v>
      </c>
      <c r="F29" s="141">
        <f t="shared" si="3"/>
        <v>7308.300000000001</v>
      </c>
      <c r="G29" s="141">
        <f t="shared" si="3"/>
        <v>32823.2</v>
      </c>
      <c r="H29" s="141">
        <f t="shared" si="3"/>
        <v>6529.300000000001</v>
      </c>
      <c r="I29" s="141">
        <f t="shared" si="3"/>
        <v>16474</v>
      </c>
      <c r="J29" s="141">
        <f t="shared" si="3"/>
        <v>6698.000000000001</v>
      </c>
      <c r="K29" s="141">
        <f t="shared" si="3"/>
        <v>2598.6999999999994</v>
      </c>
      <c r="L29" s="141">
        <f t="shared" si="3"/>
        <v>26078.599999999995</v>
      </c>
      <c r="M29" s="141">
        <f t="shared" si="3"/>
        <v>7951.800000000003</v>
      </c>
      <c r="N29" s="141">
        <f>SUM(B29:M29)</f>
        <v>220445.90000000002</v>
      </c>
      <c r="O29" s="48">
        <f>SUM(N29/N14)</f>
        <v>0.4350909928469671</v>
      </c>
      <c r="P29" s="46" t="s">
        <v>122</v>
      </c>
    </row>
    <row r="31" ht="15">
      <c r="N31" s="50"/>
    </row>
    <row r="33" ht="15">
      <c r="N33" s="47"/>
    </row>
  </sheetData>
  <sheetProtection/>
  <mergeCells count="4">
    <mergeCell ref="A1:N1"/>
    <mergeCell ref="A20:N20"/>
    <mergeCell ref="A27:N27"/>
    <mergeCell ref="A16:N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2014-10-20T12:48:07Z</dcterms:modified>
  <cp:category/>
  <cp:version/>
  <cp:contentType/>
  <cp:contentStatus/>
</cp:coreProperties>
</file>